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comments/comment4.xml" ContentType="application/vnd.openxmlformats-officedocument.spreadsheetml.comments+xml"/>
  <Override PartName="/xl/worksheets/sheet6.xml" ContentType="application/vnd.openxmlformats-officedocument.spreadsheetml.worksheet+xml"/>
  <Override PartName="/xl/comments/comment5.xml" ContentType="application/vnd.openxmlformats-officedocument.spreadsheetml.comments+xml"/>
  <Override PartName="/xl/worksheets/sheet7.xml" ContentType="application/vnd.openxmlformats-officedocument.spreadsheetml.worksheet+xml"/>
  <Override PartName="/xl/comments/comment6.xml" ContentType="application/vnd.openxmlformats-officedocument.spreadsheetml.comments+xml"/>
  <Override PartName="/xl/worksheets/sheet8.xml" ContentType="application/vnd.openxmlformats-officedocument.spreadsheetml.worksheet+xml"/>
  <Override PartName="/xl/comments/comment7.xml" ContentType="application/vnd.openxmlformats-officedocument.spreadsheetml.comments+xml"/>
  <Override PartName="/xl/worksheets/sheet9.xml" ContentType="application/vnd.openxmlformats-officedocument.spreadsheetml.worksheet+xml"/>
  <Override PartName="/xl/comments/comment8.xml" ContentType="application/vnd.openxmlformats-officedocument.spreadsheetml.comments+xml"/>
  <Override PartName="/xl/worksheets/sheet10.xml" ContentType="application/vnd.openxmlformats-officedocument.spreadsheetml.worksheet+xml"/>
  <Override PartName="/xl/comments/comment9.xml" ContentType="application/vnd.openxmlformats-officedocument.spreadsheetml.comments+xml"/>
  <Override PartName="/xl/worksheets/sheet11.xml" ContentType="application/vnd.openxmlformats-officedocument.spreadsheetml.worksheet+xml"/>
  <Override PartName="/xl/comments/comment10.xml" ContentType="application/vnd.openxmlformats-officedocument.spreadsheetml.comments+xml"/>
  <Override PartName="/xl/worksheets/sheet12.xml" ContentType="application/vnd.openxmlformats-officedocument.spreadsheetml.worksheet+xml"/>
  <Override PartName="/xl/comments/comment11.xml" ContentType="application/vnd.openxmlformats-officedocument.spreadsheetml.comments+xml"/>
  <Override PartName="/xl/worksheets/sheet13.xml" ContentType="application/vnd.openxmlformats-officedocument.spreadsheetml.worksheet+xml"/>
  <Override PartName="/xl/comments/comment12.xml" ContentType="application/vnd.openxmlformats-officedocument.spreadsheetml.comments+xml"/>
  <Override PartName="/xl/worksheets/sheet14.xml" ContentType="application/vnd.openxmlformats-officedocument.spreadsheetml.worksheet+xml"/>
  <Override PartName="/xl/comments/comment13.xml" ContentType="application/vnd.openxmlformats-officedocument.spreadsheetml.comments+xml"/>
  <Override PartName="/xl/worksheets/sheet15.xml" ContentType="application/vnd.openxmlformats-officedocument.spreadsheetml.worksheet+xml"/>
  <Override PartName="/xl/comments/comment14.xml" ContentType="application/vnd.openxmlformats-officedocument.spreadsheetml.comments+xml"/>
  <Override PartName="/xl/worksheets/sheet16.xml" ContentType="application/vnd.openxmlformats-officedocument.spreadsheetml.worksheet+xml"/>
  <Override PartName="/xl/comments/comment15.xml" ContentType="application/vnd.openxmlformats-officedocument.spreadsheetml.comments+xml"/>
  <Override PartName="/xl/worksheets/sheet17.xml" ContentType="application/vnd.openxmlformats-officedocument.spreadsheetml.worksheet+xml"/>
  <Override PartName="/xl/comments/comment16.xml" ContentType="application/vnd.openxmlformats-officedocument.spreadsheetml.comments+xml"/>
  <Override PartName="/xl/worksheets/sheet18.xml" ContentType="application/vnd.openxmlformats-officedocument.spreadsheetml.worksheet+xml"/>
  <Override PartName="/xl/comments/comment17.xml" ContentType="application/vnd.openxmlformats-officedocument.spreadsheetml.comments+xml"/>
  <Override PartName="/xl/worksheets/sheet19.xml" ContentType="application/vnd.openxmlformats-officedocument.spreadsheetml.worksheet+xml"/>
  <Override PartName="/xl/comments/comment18.xml" ContentType="application/vnd.openxmlformats-officedocument.spreadsheetml.comments+xml"/>
  <Override PartName="/xl/worksheets/sheet20.xml" ContentType="application/vnd.openxmlformats-officedocument.spreadsheetml.worksheet+xml"/>
  <Override PartName="/xl/comments/comment19.xml" ContentType="application/vnd.openxmlformats-officedocument.spreadsheetml.comments+xml"/>
  <Override PartName="/xl/worksheets/sheet21.xml" ContentType="application/vnd.openxmlformats-officedocument.spreadsheetml.worksheet+xml"/>
  <Override PartName="/xl/comments/comment20.xml" ContentType="application/vnd.openxmlformats-officedocument.spreadsheetml.comments+xml"/>
  <Override PartName="/xl/worksheets/sheet22.xml" ContentType="application/vnd.openxmlformats-officedocument.spreadsheetml.worksheet+xml"/>
  <Override PartName="/xl/comments/comment21.xml" ContentType="application/vnd.openxmlformats-officedocument.spreadsheetml.comments+xml"/>
  <Override PartName="/xl/worksheets/sheet23.xml" ContentType="application/vnd.openxmlformats-officedocument.spreadsheetml.worksheet+xml"/>
  <Override PartName="/xl/comments/comment22.xml" ContentType="application/vnd.openxmlformats-officedocument.spreadsheetml.comments+xml"/>
  <Override PartName="/xl/worksheets/sheet24.xml" ContentType="application/vnd.openxmlformats-officedocument.spreadsheetml.worksheet+xml"/>
  <Override PartName="/xl/comments/comment23.xml" ContentType="application/vnd.openxmlformats-officedocument.spreadsheetml.comments+xml"/>
  <Override PartName="/xl/worksheets/sheet25.xml" ContentType="application/vnd.openxmlformats-officedocument.spreadsheetml.worksheet+xml"/>
  <Override PartName="/xl/comments/comment24.xml" ContentType="application/vnd.openxmlformats-officedocument.spreadsheetml.comments+xml"/>
  <Override PartName="/xl/worksheets/sheet26.xml" ContentType="application/vnd.openxmlformats-officedocument.spreadsheetml.worksheet+xml"/>
  <Override PartName="/xl/comments/comment25.xml" ContentType="application/vnd.openxmlformats-officedocument.spreadsheetml.comments+xml"/>
  <Override PartName="/xl/worksheets/sheet27.xml" ContentType="application/vnd.openxmlformats-officedocument.spreadsheetml.worksheet+xml"/>
  <Override PartName="/xl/comments/comment26.xml" ContentType="application/vnd.openxmlformats-officedocument.spreadsheetml.comments+xml"/>
  <Override PartName="/xl/worksheets/sheet28.xml" ContentType="application/vnd.openxmlformats-officedocument.spreadsheetml.worksheet+xml"/>
  <Override PartName="/xl/comments/comment2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mmary" sheetId="1" state="visible" r:id="rId1"/>
    <sheet name="Cover" sheetId="2" state="visible" r:id="rId2"/>
    <sheet name="_Placeholder" sheetId="3" state="hidden" r:id="rId3"/>
    <sheet name="_Wintrust" sheetId="4" state="hidden" r:id="rId4"/>
    <sheet name="_IntlFinancial" sheetId="5" state="hidden" r:id="rId5"/>
    <sheet name="_CCG" sheetId="6" state="hidden" r:id="rId6"/>
    <sheet name="_WellsFargo" sheetId="7" state="hidden" r:id="rId7"/>
    <sheet name="_Webster" sheetId="8" state="hidden" r:id="rId8"/>
    <sheet name="_BMO" sheetId="9" state="hidden" r:id="rId9"/>
    <sheet name="_MiscEquip" sheetId="10" state="hidden" r:id="rId10"/>
    <sheet name="_Paccar" sheetId="11" state="hidden" r:id="rId11"/>
    <sheet name="_TriState" sheetId="12" state="hidden" r:id="rId12"/>
    <sheet name="_Peapack" sheetId="13" state="hidden" r:id="rId13"/>
    <sheet name="_RegionalBanks" sheetId="14" state="hidden" r:id="rId14"/>
    <sheet name="_Huntington" sheetId="15" state="hidden" r:id="rId15"/>
    <sheet name="_Balboa" sheetId="16" state="hidden" r:id="rId16"/>
    <sheet name="_Constellation" sheetId="17" state="hidden" r:id="rId17"/>
    <sheet name="Income Statement" sheetId="18" state="visible" r:id="rId18"/>
    <sheet name="_Commonwealth" sheetId="19" state="hidden" r:id="rId19"/>
    <sheet name="_WinWin" sheetId="20" state="hidden" r:id="rId20"/>
    <sheet name="_AtlanticUnion" sheetId="21" state="hidden" r:id="rId21"/>
    <sheet name="Balance Sheet" sheetId="22" state="visible" r:id="rId22"/>
    <sheet name="Cash Flow" sheetId="23" state="visible" r:id="rId23"/>
    <sheet name="Debt Schedule" sheetId="24" state="visible" r:id="rId24"/>
    <sheet name="Assumptions" sheetId="25" state="visible" r:id="rId25"/>
    <sheet name="P&amp;L Detail" sheetId="26" state="visible" r:id="rId26"/>
    <sheet name="QoE" sheetId="27" state="visible" r:id="rId27"/>
    <sheet name="Open Items" sheetId="28" state="visible" r:id="rId28"/>
  </sheets>
  <definedNames>
    <definedName name="_xlnm.Print_Titles" localSheetId="0">'Summary'!$1:$3</definedName>
    <definedName name="_xlnm.Print_Titles" localSheetId="27">'Open Items'!$1:$4</definedName>
  </definedNames>
  <calcPr calcId="124519" fullCalcOnLoad="1"/>
</workbook>
</file>

<file path=xl/styles.xml><?xml version="1.0" encoding="utf-8"?>
<styleSheet xmlns="http://schemas.openxmlformats.org/spreadsheetml/2006/main">
  <numFmts count="7">
    <numFmt numFmtId="164" formatCode="YYYY-MM-DD"/>
    <numFmt numFmtId="165" formatCode="MMM-YYYY"/>
    <numFmt numFmtId="166" formatCode="$#,##0"/>
    <numFmt numFmtId="167" formatCode="#,##0;(#,##0);&quot;-&quot;"/>
    <numFmt numFmtId="168" formatCode="0.0%"/>
    <numFmt numFmtId="169" formatCode="0.0x"/>
    <numFmt numFmtId="170" formatCode="0.0"/>
  </numFmts>
  <fonts count="51">
    <font>
      <name val="Calibri"/>
      <family val="2"/>
      <color theme="1"/>
      <sz val="11"/>
      <scheme val="minor"/>
    </font>
    <font>
      <b val="1"/>
      <sz val="12"/>
    </font>
    <font>
      <b val="1"/>
      <color rgb="00FFFFFF"/>
    </font>
    <font>
      <color rgb="000000FF"/>
    </font>
    <font>
      <b val="1"/>
      <sz val="11"/>
    </font>
    <font>
      <b val="1"/>
      <color rgb="00FFFFFF"/>
      <sz val="12"/>
    </font>
    <font>
      <b val="1"/>
    </font>
    <font>
      <color rgb="00000000"/>
    </font>
    <font>
      <b val="1"/>
      <color rgb="00FFFFFF"/>
      <sz val="10"/>
    </font>
    <font>
      <b val="1"/>
      <color rgb="00FFFFFF"/>
      <sz val="11"/>
    </font>
    <font>
      <i val="1"/>
    </font>
    <font>
      <b val="1"/>
      <color rgb="00FFFFFF"/>
      <sz val="14"/>
    </font>
    <font>
      <b val="1"/>
      <color rgb="000000FF"/>
    </font>
    <font>
      <i val="1"/>
      <sz val="9"/>
    </font>
    <font>
      <color rgb="00008000"/>
    </font>
    <font>
      <b val="1"/>
      <sz val="14"/>
    </font>
    <font>
      <b val="1"/>
      <sz val="10"/>
    </font>
    <font>
      <sz val="10"/>
    </font>
    <font>
      <color rgb="000000FF"/>
      <sz val="10"/>
    </font>
    <font>
      <color rgb="00008000"/>
      <sz val="10"/>
    </font>
    <font>
      <b val="1"/>
      <color rgb="00008000"/>
    </font>
    <font>
      <name val="Calibri"/>
      <b val="1"/>
      <sz val="14"/>
    </font>
    <font>
      <name val="Calibri"/>
      <b val="1"/>
      <color rgb="00FFFFFF"/>
      <sz val="11"/>
    </font>
    <font>
      <name val="Calibri"/>
      <b val="1"/>
      <sz val="11"/>
    </font>
    <font>
      <name val="Calibri"/>
      <sz val="11"/>
    </font>
    <font>
      <name val="Calibri"/>
      <color rgb="00000000"/>
      <sz val="11"/>
    </font>
    <font>
      <i val="1"/>
      <sz val="10"/>
    </font>
    <font>
      <b val="1"/>
      <i val="1"/>
      <sz val="9"/>
    </font>
    <font>
      <b val="1"/>
      <sz val="9"/>
    </font>
    <font>
      <b val="1"/>
      <sz val="16"/>
    </font>
    <font>
      <i val="1"/>
      <color rgb="00666666"/>
    </font>
    <font>
      <b val="1"/>
      <color rgb="00000000"/>
    </font>
    <font>
      <name val="Calibri"/>
      <b val="1"/>
      <color rgb="001F3864"/>
      <sz val="24"/>
    </font>
    <font>
      <name val="Calibri"/>
      <b val="1"/>
      <color rgb="002F5496"/>
      <sz val="14"/>
    </font>
    <font>
      <name val="Calibri"/>
      <i val="1"/>
      <color rgb="00666666"/>
      <sz val="10"/>
    </font>
    <font>
      <name val="Calibri"/>
      <b val="1"/>
      <color rgb="00FFFFFF"/>
      <sz val="12"/>
    </font>
    <font>
      <name val="Calibri"/>
      <b val="1"/>
      <color rgb="00333333"/>
      <sz val="11"/>
    </font>
    <font>
      <name val="Calibri"/>
      <b val="1"/>
      <color rgb="001F3864"/>
      <sz val="11"/>
    </font>
    <font>
      <name val="Calibri"/>
      <color rgb="00333333"/>
      <sz val="9"/>
    </font>
    <font>
      <name val="Calibri"/>
      <color rgb="000066CC"/>
      <sz val="11"/>
      <u val="single"/>
    </font>
    <font>
      <name val="Calibri"/>
      <i val="1"/>
      <color rgb="00666666"/>
      <sz val="9"/>
    </font>
    <font>
      <name val="Calibri"/>
      <i val="1"/>
      <color rgb="00999999"/>
      <sz val="9"/>
    </font>
    <font>
      <b val="1"/>
      <color rgb="001F2D3D"/>
      <sz val="18"/>
    </font>
    <font>
      <b val="1"/>
      <color rgb="004A4A4A"/>
      <sz val="14"/>
    </font>
    <font>
      <color rgb="001565C0"/>
    </font>
    <font>
      <b val="1"/>
      <color rgb="00D32F2F"/>
    </font>
    <font>
      <b val="1"/>
      <color rgb="00FF6D00"/>
    </font>
    <font>
      <b val="1"/>
      <color rgb="00388E3C"/>
    </font>
    <font>
      <color rgb="00C62828"/>
    </font>
    <font>
      <color rgb="006A1B9A"/>
    </font>
    <font>
      <color rgb="0000695C"/>
    </font>
  </fonts>
  <fills count="26">
    <fill>
      <patternFill/>
    </fill>
    <fill>
      <patternFill patternType="gray125"/>
    </fill>
    <fill>
      <patternFill patternType="solid">
        <fgColor rgb="00808080"/>
        <bgColor rgb="00808080"/>
      </patternFill>
    </fill>
    <fill>
      <patternFill patternType="solid">
        <fgColor rgb="00FFFFE0"/>
        <bgColor rgb="00FFFFE0"/>
      </patternFill>
    </fill>
    <fill>
      <patternFill patternType="solid">
        <fgColor rgb="001F2D3D"/>
        <bgColor rgb="001F2D3D"/>
      </patternFill>
    </fill>
    <fill>
      <patternFill patternType="solid">
        <fgColor rgb="001A237E"/>
        <bgColor rgb="001A237E"/>
      </patternFill>
    </fill>
    <fill>
      <patternFill patternType="solid">
        <fgColor rgb="00F5F5F5"/>
        <bgColor rgb="00F5F5F5"/>
      </patternFill>
    </fill>
    <fill>
      <patternFill patternType="solid">
        <fgColor rgb="00E3F2FD"/>
        <bgColor rgb="00E3F2FD"/>
      </patternFill>
    </fill>
    <fill>
      <patternFill patternType="solid">
        <fgColor rgb="0037474F"/>
        <bgColor rgb="0037474F"/>
      </patternFill>
    </fill>
    <fill>
      <patternFill patternType="solid">
        <fgColor rgb="00E8E8E8"/>
        <bgColor rgb="00E8E8E8"/>
      </patternFill>
    </fill>
    <fill>
      <patternFill patternType="solid">
        <fgColor rgb="00424242"/>
        <bgColor rgb="00424242"/>
      </patternFill>
    </fill>
    <fill>
      <patternFill patternType="solid">
        <fgColor rgb="001B5E20"/>
        <bgColor rgb="001B5E20"/>
      </patternFill>
    </fill>
    <fill>
      <patternFill patternType="solid">
        <fgColor rgb="00D0D0D0"/>
        <bgColor rgb="00D0D0D0"/>
      </patternFill>
    </fill>
    <fill>
      <patternFill patternType="solid">
        <fgColor rgb="00A5D6A7"/>
        <bgColor rgb="00A5D6A7"/>
      </patternFill>
    </fill>
    <fill>
      <patternFill patternType="solid">
        <fgColor rgb="003949AB"/>
        <bgColor rgb="003949AB"/>
      </patternFill>
    </fill>
    <fill>
      <patternFill patternType="solid">
        <fgColor rgb="00E8EAF6"/>
        <bgColor rgb="00E8EAF6"/>
      </patternFill>
    </fill>
    <fill>
      <patternFill patternType="solid">
        <fgColor rgb="00C5CAE9"/>
        <bgColor rgb="00C5CAE9"/>
      </patternFill>
    </fill>
    <fill>
      <patternFill patternType="solid">
        <fgColor rgb="00FFFDE7"/>
        <bgColor rgb="00FFFDE7"/>
      </patternFill>
    </fill>
    <fill>
      <patternFill patternType="solid">
        <fgColor rgb="001565C0"/>
        <bgColor rgb="001565C0"/>
      </patternFill>
    </fill>
    <fill>
      <patternFill patternType="solid">
        <fgColor rgb="002E7D32"/>
        <bgColor rgb="002E7D32"/>
      </patternFill>
    </fill>
    <fill>
      <patternFill patternType="solid">
        <fgColor rgb="00263238"/>
        <bgColor rgb="00263238"/>
      </patternFill>
    </fill>
    <fill>
      <patternFill patternType="solid">
        <fgColor rgb="00006064"/>
        <bgColor rgb="00006064"/>
      </patternFill>
    </fill>
    <fill>
      <patternFill patternType="solid">
        <fgColor rgb="001F3864"/>
        <bgColor rgb="001F3864"/>
      </patternFill>
    </fill>
    <fill>
      <patternFill patternType="solid">
        <fgColor rgb="00E8F4FD"/>
        <bgColor rgb="00E8F4FD"/>
      </patternFill>
    </fill>
    <fill>
      <patternFill patternType="solid">
        <fgColor rgb="002E4053"/>
        <bgColor rgb="002E4053"/>
      </patternFill>
    </fill>
    <fill>
      <patternFill patternType="solid">
        <fgColor rgb="002C3E50"/>
        <bgColor rgb="002C3E50"/>
      </patternFill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bottom style="thin">
        <color rgb="00000000"/>
      </bottom>
    </border>
    <border>
      <bottom style="double">
        <color rgb="00000000"/>
      </bottom>
    </border>
    <border>
      <top style="thin"/>
      <bottom style="thin"/>
    </border>
    <border>
      <top style="thin"/>
      <bottom style="double"/>
    </border>
    <border>
      <bottom style="thin"/>
    </border>
    <border>
      <bottom style="double"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/>
      <top/>
      <bottom style="thin"/>
      <diagonal/>
    </border>
    <border>
      <left/>
      <right style="thin"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253">
    <xf numFmtId="0" fontId="0" fillId="0" borderId="0" pivotButton="0" quotePrefix="0" xfId="0"/>
    <xf numFmtId="0" fontId="2" fillId="2" borderId="0" pivotButton="0" quotePrefix="0" xfId="0"/>
    <xf numFmtId="0" fontId="3" fillId="0" borderId="0" pivotButton="0" quotePrefix="0" xfId="0"/>
    <xf numFmtId="4" fontId="3" fillId="0" borderId="0" pivotButton="0" quotePrefix="0" xfId="0"/>
    <xf numFmtId="10" fontId="3" fillId="0" borderId="0" pivotButton="0" quotePrefix="0" xfId="0"/>
    <xf numFmtId="0" fontId="4" fillId="3" borderId="0" pivotButton="0" quotePrefix="0" xfId="0"/>
    <xf numFmtId="0" fontId="0" fillId="3" borderId="0" pivotButton="0" quotePrefix="0" xfId="0"/>
    <xf numFmtId="164" fontId="0" fillId="0" borderId="0" pivotButton="0" quotePrefix="0" xfId="0"/>
    <xf numFmtId="0" fontId="2" fillId="2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164" fontId="0" fillId="0" borderId="1" pivotButton="0" quotePrefix="0" xfId="0"/>
    <xf numFmtId="4" fontId="0" fillId="0" borderId="1" pivotButton="0" quotePrefix="0" xfId="0"/>
    <xf numFmtId="164" fontId="0" fillId="0" borderId="0" pivotButton="0" quotePrefix="0" xfId="0"/>
    <xf numFmtId="164" fontId="0" fillId="0" borderId="1" pivotButton="0" quotePrefix="0" xfId="0"/>
    <xf numFmtId="0" fontId="5" fillId="4" borderId="0" pivotButton="0" quotePrefix="0" xfId="0"/>
    <xf numFmtId="0" fontId="2" fillId="5" borderId="0" pivotButton="0" quotePrefix="0" xfId="0"/>
    <xf numFmtId="164" fontId="3" fillId="0" borderId="0" pivotButton="0" quotePrefix="0" xfId="0"/>
    <xf numFmtId="0" fontId="6" fillId="3" borderId="0" pivotButton="0" quotePrefix="0" xfId="0"/>
    <xf numFmtId="0" fontId="2" fillId="4" borderId="1" applyAlignment="1" pivotButton="0" quotePrefix="0" xfId="0">
      <alignment horizontal="center"/>
    </xf>
    <xf numFmtId="4" fontId="0" fillId="0" borderId="0" pivotButton="0" quotePrefix="0" xfId="0"/>
    <xf numFmtId="0" fontId="6" fillId="0" borderId="0" pivotButton="0" quotePrefix="0" xfId="0"/>
    <xf numFmtId="4" fontId="6" fillId="0" borderId="0" pivotButton="0" quotePrefix="0" xfId="0"/>
    <xf numFmtId="3" fontId="3" fillId="0" borderId="0" pivotButton="0" quotePrefix="0" xfId="0"/>
    <xf numFmtId="0" fontId="2" fillId="5" borderId="1" applyAlignment="1" pivotButton="0" quotePrefix="0" xfId="0">
      <alignment horizontal="center"/>
    </xf>
    <xf numFmtId="3" fontId="7" fillId="0" borderId="1" pivotButton="0" quotePrefix="0" xfId="0"/>
    <xf numFmtId="3" fontId="6" fillId="0" borderId="0" pivotButton="0" quotePrefix="0" xfId="0"/>
    <xf numFmtId="0" fontId="8" fillId="4" borderId="0" pivotButton="0" quotePrefix="0" xfId="0"/>
    <xf numFmtId="0" fontId="9" fillId="5" borderId="0" pivotButton="0" quotePrefix="0" xfId="0"/>
    <xf numFmtId="0" fontId="8" fillId="3" borderId="0" pivotButton="0" quotePrefix="0" xfId="0"/>
    <xf numFmtId="0" fontId="10" fillId="3" borderId="0" pivotButton="0" quotePrefix="0" xfId="0"/>
    <xf numFmtId="0" fontId="9" fillId="5" borderId="0" applyAlignment="1" pivotButton="0" quotePrefix="0" xfId="0">
      <alignment horizontal="center"/>
    </xf>
    <xf numFmtId="3" fontId="0" fillId="0" borderId="0" pivotButton="0" quotePrefix="0" xfId="0"/>
    <xf numFmtId="0" fontId="11" fillId="4" borderId="0" pivotButton="0" quotePrefix="0" xfId="0"/>
    <xf numFmtId="0" fontId="0" fillId="4" borderId="0" pivotButton="0" quotePrefix="0" xfId="0"/>
    <xf numFmtId="0" fontId="0" fillId="0" borderId="1" pivotButton="0" quotePrefix="0" xfId="0"/>
    <xf numFmtId="3" fontId="3" fillId="0" borderId="1" pivotButton="0" quotePrefix="0" xfId="0"/>
    <xf numFmtId="10" fontId="3" fillId="0" borderId="1" pivotButton="0" quotePrefix="0" xfId="0"/>
    <xf numFmtId="4" fontId="3" fillId="0" borderId="1" pivotButton="0" quotePrefix="0" xfId="0"/>
    <xf numFmtId="0" fontId="1" fillId="3" borderId="0" pivotButton="0" quotePrefix="0" xfId="0"/>
    <xf numFmtId="0" fontId="2" fillId="4" borderId="0" pivotButton="0" quotePrefix="0" xfId="0"/>
    <xf numFmtId="4" fontId="7" fillId="0" borderId="1" pivotButton="0" quotePrefix="0" xfId="0"/>
    <xf numFmtId="0" fontId="6" fillId="0" borderId="1" pivotButton="0" quotePrefix="0" xfId="0"/>
    <xf numFmtId="4" fontId="6" fillId="0" borderId="1" pivotButton="0" quotePrefix="0" xfId="0"/>
    <xf numFmtId="0" fontId="0" fillId="0" borderId="0" applyAlignment="1" pivotButton="0" quotePrefix="0" xfId="0">
      <alignment horizontal="center"/>
    </xf>
    <xf numFmtId="0" fontId="0" fillId="6" borderId="0" applyAlignment="1" pivotButton="0" quotePrefix="0" xfId="0">
      <alignment horizontal="center"/>
    </xf>
    <xf numFmtId="4" fontId="0" fillId="6" borderId="0" pivotButton="0" quotePrefix="0" xfId="0"/>
    <xf numFmtId="0" fontId="2" fillId="5" borderId="0" applyAlignment="1" pivotButton="0" quotePrefix="0" xfId="0">
      <alignment horizontal="center"/>
    </xf>
    <xf numFmtId="0" fontId="6" fillId="6" borderId="0" applyAlignment="1" pivotButton="0" quotePrefix="0" xfId="0">
      <alignment horizontal="center"/>
    </xf>
    <xf numFmtId="0" fontId="3" fillId="6" borderId="0" applyAlignment="1" pivotButton="0" quotePrefix="0" xfId="0">
      <alignment horizontal="center"/>
    </xf>
    <xf numFmtId="0" fontId="6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4" fontId="3" fillId="6" borderId="0" applyAlignment="1" pivotButton="0" quotePrefix="0" xfId="0">
      <alignment horizontal="center"/>
    </xf>
    <xf numFmtId="10" fontId="3" fillId="0" borderId="0" applyAlignment="1" pivotButton="0" quotePrefix="0" xfId="0">
      <alignment horizontal="center"/>
    </xf>
    <xf numFmtId="4" fontId="3" fillId="0" borderId="0" applyAlignment="1" pivotButton="0" quotePrefix="0" xfId="0">
      <alignment horizontal="center"/>
    </xf>
    <xf numFmtId="0" fontId="6" fillId="3" borderId="0" applyAlignment="1" pivotButton="0" quotePrefix="0" xfId="0">
      <alignment horizontal="center"/>
    </xf>
    <xf numFmtId="0" fontId="0" fillId="3" borderId="0" applyAlignment="1" pivotButton="0" quotePrefix="0" xfId="0">
      <alignment horizontal="center"/>
    </xf>
    <xf numFmtId="4" fontId="0" fillId="3" borderId="0" pivotButton="0" quotePrefix="0" xfId="0"/>
    <xf numFmtId="4" fontId="2" fillId="5" borderId="1" applyAlignment="1" pivotButton="0" quotePrefix="0" xfId="0">
      <alignment horizontal="center"/>
    </xf>
    <xf numFmtId="0" fontId="6" fillId="6" borderId="1" applyAlignment="1" pivotButton="0" quotePrefix="0" xfId="0">
      <alignment horizontal="center"/>
    </xf>
    <xf numFmtId="0" fontId="0" fillId="6" borderId="1" applyAlignment="1" pivotButton="0" quotePrefix="0" xfId="0">
      <alignment horizontal="center"/>
    </xf>
    <xf numFmtId="4" fontId="0" fillId="6" borderId="1" pivotButton="0" quotePrefix="0" xfId="0"/>
    <xf numFmtId="4" fontId="6" fillId="6" borderId="1" pivotButton="0" quotePrefix="0" xfId="0"/>
    <xf numFmtId="0" fontId="6" fillId="7" borderId="1" pivotButton="0" quotePrefix="0" xfId="0"/>
    <xf numFmtId="0" fontId="0" fillId="7" borderId="1" pivotButton="0" quotePrefix="0" xfId="0"/>
    <xf numFmtId="4" fontId="6" fillId="7" borderId="1" pivotButton="0" quotePrefix="0" xfId="0"/>
    <xf numFmtId="0" fontId="11" fillId="5" borderId="0" pivotButton="0" quotePrefix="0" xfId="0"/>
    <xf numFmtId="0" fontId="2" fillId="5" borderId="1" pivotButton="0" quotePrefix="0" xfId="0"/>
    <xf numFmtId="0" fontId="3" fillId="0" borderId="1" pivotButton="0" quotePrefix="0" xfId="0"/>
    <xf numFmtId="3" fontId="6" fillId="7" borderId="1" pivotButton="0" quotePrefix="0" xfId="0"/>
    <xf numFmtId="0" fontId="5" fillId="5" borderId="0" pivotButton="0" quotePrefix="0" xfId="0"/>
    <xf numFmtId="0" fontId="2" fillId="4" borderId="0" applyAlignment="1" pivotButton="0" quotePrefix="0" xfId="0">
      <alignment horizontal="center"/>
    </xf>
    <xf numFmtId="0" fontId="6" fillId="6" borderId="1" pivotButton="0" quotePrefix="0" xfId="0"/>
    <xf numFmtId="3" fontId="0" fillId="0" borderId="1" pivotButton="0" quotePrefix="0" xfId="0"/>
    <xf numFmtId="0" fontId="0" fillId="3" borderId="1" pivotButton="0" quotePrefix="0" xfId="0"/>
    <xf numFmtId="0" fontId="6" fillId="3" borderId="1" pivotButton="0" quotePrefix="0" xfId="0"/>
    <xf numFmtId="3" fontId="6" fillId="3" borderId="1" pivotButton="0" quotePrefix="0" xfId="0"/>
    <xf numFmtId="0" fontId="6" fillId="7" borderId="0" pivotButton="0" quotePrefix="0" xfId="0"/>
    <xf numFmtId="4" fontId="6" fillId="3" borderId="1" pivotButton="0" quotePrefix="0" xfId="0"/>
    <xf numFmtId="0" fontId="0" fillId="5" borderId="0" pivotButton="0" quotePrefix="0" xfId="0"/>
    <xf numFmtId="4" fontId="12" fillId="0" borderId="0" pivotButton="0" quotePrefix="0" xfId="0"/>
    <xf numFmtId="0" fontId="2" fillId="8" borderId="0" pivotButton="0" quotePrefix="0" xfId="0"/>
    <xf numFmtId="0" fontId="0" fillId="8" borderId="0" pivotButton="0" quotePrefix="0" xfId="0"/>
    <xf numFmtId="10" fontId="0" fillId="0" borderId="1" pivotButton="0" quotePrefix="0" xfId="0"/>
    <xf numFmtId="0" fontId="5" fillId="8" borderId="0" pivotButton="0" quotePrefix="0" xfId="0"/>
    <xf numFmtId="0" fontId="2" fillId="4" borderId="1" pivotButton="0" quotePrefix="0" xfId="0"/>
    <xf numFmtId="0" fontId="13" fillId="0" borderId="0" pivotButton="0" quotePrefix="0" xfId="0"/>
    <xf numFmtId="4" fontId="14" fillId="0" borderId="1" pivotButton="0" quotePrefix="0" xfId="0"/>
    <xf numFmtId="1" fontId="0" fillId="3" borderId="0" pivotButton="0" quotePrefix="0" xfId="0"/>
    <xf numFmtId="0" fontId="6" fillId="0" borderId="1" applyAlignment="1" pivotButton="0" quotePrefix="0" xfId="0">
      <alignment horizontal="center"/>
    </xf>
    <xf numFmtId="0" fontId="6" fillId="9" borderId="1" pivotButton="0" quotePrefix="0" xfId="0"/>
    <xf numFmtId="3" fontId="6" fillId="9" borderId="1" pivotButton="0" quotePrefix="0" xfId="0"/>
    <xf numFmtId="0" fontId="0" fillId="9" borderId="1" pivotButton="0" quotePrefix="0" xfId="0"/>
    <xf numFmtId="4" fontId="6" fillId="9" borderId="1" pivotButton="0" quotePrefix="0" xfId="0"/>
    <xf numFmtId="0" fontId="15" fillId="0" borderId="0" pivotButton="0" quotePrefix="0" xfId="0"/>
    <xf numFmtId="0" fontId="2" fillId="10" borderId="0" pivotButton="0" quotePrefix="0" xfId="0"/>
    <xf numFmtId="0" fontId="2" fillId="10" borderId="1" applyAlignment="1" pivotButton="0" quotePrefix="0" xfId="0">
      <alignment horizontal="center"/>
    </xf>
    <xf numFmtId="164" fontId="0" fillId="6" borderId="1" pivotButton="0" quotePrefix="0" xfId="0"/>
    <xf numFmtId="3" fontId="0" fillId="6" borderId="1" pivotButton="0" quotePrefix="0" xfId="0"/>
    <xf numFmtId="0" fontId="16" fillId="0" borderId="0" applyAlignment="1" pivotButton="0" quotePrefix="0" xfId="0">
      <alignment horizontal="center"/>
    </xf>
    <xf numFmtId="0" fontId="9" fillId="11" borderId="0" pivotButton="0" quotePrefix="0" xfId="0"/>
    <xf numFmtId="0" fontId="0" fillId="11" borderId="0" pivotButton="0" quotePrefix="0" xfId="0"/>
    <xf numFmtId="0" fontId="17" fillId="0" borderId="0" pivotButton="0" quotePrefix="0" xfId="0"/>
    <xf numFmtId="3" fontId="18" fillId="0" borderId="0" pivotButton="0" quotePrefix="0" xfId="0"/>
    <xf numFmtId="0" fontId="16" fillId="0" borderId="0" pivotButton="0" quotePrefix="0" xfId="0"/>
    <xf numFmtId="3" fontId="16" fillId="0" borderId="2" pivotButton="0" quotePrefix="0" xfId="0"/>
    <xf numFmtId="3" fontId="16" fillId="0" borderId="0" pivotButton="0" quotePrefix="0" xfId="0"/>
    <xf numFmtId="3" fontId="16" fillId="0" borderId="3" pivotButton="0" quotePrefix="0" xfId="0"/>
    <xf numFmtId="0" fontId="4" fillId="7" borderId="0" pivotButton="0" quotePrefix="0" xfId="0"/>
    <xf numFmtId="0" fontId="0" fillId="7" borderId="0" pivotButton="0" quotePrefix="0" xfId="0"/>
    <xf numFmtId="0" fontId="19" fillId="7" borderId="0" pivotButton="0" quotePrefix="0" xfId="0"/>
    <xf numFmtId="3" fontId="19" fillId="7" borderId="0" pivotButton="0" quotePrefix="0" xfId="0"/>
    <xf numFmtId="0" fontId="16" fillId="3" borderId="0" pivotButton="0" quotePrefix="0" xfId="0"/>
    <xf numFmtId="3" fontId="16" fillId="3" borderId="0" pivotButton="0" quotePrefix="0" xfId="0"/>
    <xf numFmtId="164" fontId="3" fillId="0" borderId="1" pivotButton="0" quotePrefix="0" xfId="0"/>
    <xf numFmtId="3" fontId="14" fillId="0" borderId="1" pivotButton="0" quotePrefix="0" xfId="0"/>
    <xf numFmtId="0" fontId="11" fillId="4" borderId="0" applyAlignment="1" pivotButton="0" quotePrefix="0" xfId="0">
      <alignment horizontal="center"/>
    </xf>
    <xf numFmtId="3" fontId="6" fillId="0" borderId="1" pivotButton="0" quotePrefix="0" xfId="0"/>
    <xf numFmtId="0" fontId="0" fillId="3" borderId="0" applyAlignment="1" pivotButton="0" quotePrefix="0" xfId="0">
      <alignment wrapText="1"/>
    </xf>
    <xf numFmtId="3" fontId="14" fillId="0" borderId="0" pivotButton="0" quotePrefix="0" xfId="0"/>
    <xf numFmtId="10" fontId="14" fillId="0" borderId="0" pivotButton="0" quotePrefix="0" xfId="0"/>
    <xf numFmtId="0" fontId="6" fillId="12" borderId="1" applyAlignment="1" pivotButton="0" quotePrefix="0" xfId="0">
      <alignment horizontal="center"/>
    </xf>
    <xf numFmtId="165" fontId="0" fillId="0" borderId="1" pivotButton="0" quotePrefix="0" xfId="0"/>
    <xf numFmtId="3" fontId="20" fillId="0" borderId="0" pivotButton="0" quotePrefix="0" xfId="0"/>
    <xf numFmtId="3" fontId="6" fillId="13" borderId="0" pivotButton="0" quotePrefix="0" xfId="0"/>
    <xf numFmtId="165" fontId="0" fillId="0" borderId="1" pivotButton="0" quotePrefix="0" xfId="0"/>
    <xf numFmtId="0" fontId="10" fillId="0" borderId="0" pivotButton="0" quotePrefix="0" xfId="0"/>
    <xf numFmtId="0" fontId="6" fillId="12" borderId="1" pivotButton="0" quotePrefix="0" xfId="0"/>
    <xf numFmtId="4" fontId="14" fillId="0" borderId="0" pivotButton="0" quotePrefix="0" xfId="0"/>
    <xf numFmtId="0" fontId="21" fillId="0" borderId="0" pivotButton="0" quotePrefix="0" xfId="0"/>
    <xf numFmtId="0" fontId="22" fillId="5" borderId="0" pivotButton="0" quotePrefix="0" xfId="0"/>
    <xf numFmtId="0" fontId="23" fillId="0" borderId="0" pivotButton="0" quotePrefix="0" xfId="0"/>
    <xf numFmtId="0" fontId="24" fillId="0" borderId="0" pivotButton="0" quotePrefix="0" xfId="0"/>
    <xf numFmtId="3" fontId="25" fillId="0" borderId="0" pivotButton="0" quotePrefix="0" xfId="0"/>
    <xf numFmtId="3" fontId="23" fillId="0" borderId="0" pivotButton="0" quotePrefix="0" xfId="0"/>
    <xf numFmtId="3" fontId="23" fillId="0" borderId="4" pivotButton="0" quotePrefix="0" xfId="0"/>
    <xf numFmtId="3" fontId="23" fillId="0" borderId="5" pivotButton="0" quotePrefix="0" xfId="0"/>
    <xf numFmtId="3" fontId="23" fillId="13" borderId="0" pivotButton="0" quotePrefix="0" xfId="0"/>
    <xf numFmtId="0" fontId="23" fillId="3" borderId="0" pivotButton="0" quotePrefix="0" xfId="0"/>
    <xf numFmtId="3" fontId="0" fillId="3" borderId="0" pivotButton="0" quotePrefix="0" xfId="0"/>
    <xf numFmtId="0" fontId="11" fillId="5" borderId="0" applyAlignment="1" pivotButton="0" quotePrefix="0" xfId="0">
      <alignment horizontal="center"/>
    </xf>
    <xf numFmtId="0" fontId="26" fillId="0" borderId="0" applyAlignment="1" pivotButton="0" quotePrefix="0" xfId="0">
      <alignment horizontal="center"/>
    </xf>
    <xf numFmtId="0" fontId="8" fillId="14" borderId="0" pivotButton="0" quotePrefix="0" xfId="0"/>
    <xf numFmtId="0" fontId="6" fillId="15" borderId="1" pivotButton="0" quotePrefix="0" xfId="0"/>
    <xf numFmtId="166" fontId="14" fillId="0" borderId="1" pivotButton="0" quotePrefix="0" xfId="0"/>
    <xf numFmtId="10" fontId="14" fillId="0" borderId="1" pivotButton="0" quotePrefix="0" xfId="0"/>
    <xf numFmtId="0" fontId="13" fillId="0" borderId="1" pivotButton="0" quotePrefix="0" xfId="0"/>
    <xf numFmtId="0" fontId="16" fillId="16" borderId="1" pivotButton="0" quotePrefix="0" xfId="0"/>
    <xf numFmtId="0" fontId="16" fillId="16" borderId="1" applyAlignment="1" pivotButton="0" quotePrefix="0" xfId="0">
      <alignment horizontal="center"/>
    </xf>
    <xf numFmtId="166" fontId="16" fillId="16" borderId="1" pivotButton="0" quotePrefix="0" xfId="0"/>
    <xf numFmtId="0" fontId="0" fillId="16" borderId="1" pivotButton="0" quotePrefix="0" xfId="0"/>
    <xf numFmtId="166" fontId="3" fillId="0" borderId="1" pivotButton="0" quotePrefix="0" xfId="0"/>
    <xf numFmtId="0" fontId="16" fillId="0" borderId="1" pivotButton="0" quotePrefix="0" xfId="0"/>
    <xf numFmtId="0" fontId="13" fillId="16" borderId="1" pivotButton="0" quotePrefix="0" xfId="0"/>
    <xf numFmtId="0" fontId="27" fillId="0" borderId="1" pivotButton="0" quotePrefix="0" xfId="0"/>
    <xf numFmtId="166" fontId="6" fillId="13" borderId="1" pivotButton="0" quotePrefix="0" xfId="0"/>
    <xf numFmtId="166" fontId="0" fillId="0" borderId="1" pivotButton="0" quotePrefix="0" xfId="0"/>
    <xf numFmtId="10" fontId="16" fillId="16" borderId="1" pivotButton="0" quotePrefix="0" xfId="0"/>
    <xf numFmtId="0" fontId="0" fillId="17" borderId="1" pivotButton="0" quotePrefix="0" xfId="0"/>
    <xf numFmtId="166" fontId="14" fillId="17" borderId="1" pivotButton="0" quotePrefix="0" xfId="0"/>
    <xf numFmtId="0" fontId="28" fillId="17" borderId="1" pivotButton="0" quotePrefix="0" xfId="0"/>
    <xf numFmtId="3" fontId="14" fillId="7" borderId="0" pivotButton="0" quotePrefix="0" xfId="0"/>
    <xf numFmtId="0" fontId="8" fillId="18" borderId="0" pivotButton="0" quotePrefix="0" xfId="0"/>
    <xf numFmtId="0" fontId="0" fillId="18" borderId="0" pivotButton="0" quotePrefix="0" xfId="0"/>
    <xf numFmtId="167" fontId="14" fillId="0" borderId="0" applyAlignment="1" pivotButton="0" quotePrefix="0" xfId="0">
      <alignment horizontal="right"/>
    </xf>
    <xf numFmtId="167" fontId="7" fillId="0" borderId="0" applyAlignment="1" pivotButton="0" quotePrefix="0" xfId="0">
      <alignment horizontal="right"/>
    </xf>
    <xf numFmtId="167" fontId="16" fillId="0" borderId="0" applyAlignment="1" pivotButton="0" quotePrefix="0" xfId="0">
      <alignment horizontal="right"/>
    </xf>
    <xf numFmtId="167" fontId="14" fillId="13" borderId="0" pivotButton="0" quotePrefix="0" xfId="0"/>
    <xf numFmtId="0" fontId="29" fillId="0" borderId="0" pivotButton="0" quotePrefix="0" xfId="0"/>
    <xf numFmtId="0" fontId="12" fillId="3" borderId="0" pivotButton="0" quotePrefix="0" xfId="0"/>
    <xf numFmtId="0" fontId="30" fillId="0" borderId="0" pivotButton="0" quotePrefix="0" xfId="0"/>
    <xf numFmtId="0" fontId="2" fillId="19" borderId="0" pivotButton="0" quotePrefix="0" xfId="0"/>
    <xf numFmtId="0" fontId="0" fillId="19" borderId="0" pivotButton="0" quotePrefix="0" xfId="0"/>
    <xf numFmtId="168" fontId="3" fillId="3" borderId="0" pivotButton="0" quotePrefix="0" xfId="0"/>
    <xf numFmtId="168" fontId="0" fillId="0" borderId="0" pivotButton="0" quotePrefix="0" xfId="0"/>
    <xf numFmtId="0" fontId="3" fillId="3" borderId="0" pivotButton="0" quotePrefix="0" xfId="0"/>
    <xf numFmtId="3" fontId="3" fillId="3" borderId="0" pivotButton="0" quotePrefix="0" xfId="0"/>
    <xf numFmtId="3" fontId="7" fillId="0" borderId="0" pivotButton="0" quotePrefix="0" xfId="0"/>
    <xf numFmtId="3" fontId="7" fillId="13" borderId="0" pivotButton="0" quotePrefix="0" xfId="0"/>
    <xf numFmtId="0" fontId="31" fillId="0" borderId="0" applyAlignment="1" pivotButton="0" quotePrefix="0" xfId="0">
      <alignment horizontal="center"/>
    </xf>
    <xf numFmtId="3" fontId="14" fillId="0" borderId="0" applyAlignment="1" pivotButton="0" quotePrefix="0" xfId="0">
      <alignment horizontal="right"/>
    </xf>
    <xf numFmtId="3" fontId="7" fillId="0" borderId="0" applyAlignment="1" pivotButton="0" quotePrefix="0" xfId="0">
      <alignment horizontal="right"/>
    </xf>
    <xf numFmtId="3" fontId="31" fillId="0" borderId="0" applyAlignment="1" pivotButton="0" quotePrefix="0" xfId="0">
      <alignment horizontal="right"/>
    </xf>
    <xf numFmtId="3" fontId="3" fillId="0" borderId="0" applyAlignment="1" pivotButton="0" quotePrefix="0" xfId="0">
      <alignment horizontal="right"/>
    </xf>
    <xf numFmtId="3" fontId="7" fillId="13" borderId="0" applyAlignment="1" pivotButton="0" quotePrefix="0" xfId="0">
      <alignment horizontal="right"/>
    </xf>
    <xf numFmtId="0" fontId="2" fillId="20" borderId="0" pivotButton="0" quotePrefix="0" xfId="0"/>
    <xf numFmtId="0" fontId="0" fillId="20" borderId="0" pivotButton="0" quotePrefix="0" xfId="0"/>
    <xf numFmtId="0" fontId="31" fillId="0" borderId="0" pivotButton="0" quotePrefix="0" xfId="0"/>
    <xf numFmtId="3" fontId="31" fillId="0" borderId="6" pivotButton="0" quotePrefix="0" xfId="0"/>
    <xf numFmtId="3" fontId="31" fillId="0" borderId="7" pivotButton="0" quotePrefix="0" xfId="0"/>
    <xf numFmtId="3" fontId="31" fillId="0" borderId="0" pivotButton="0" quotePrefix="0" xfId="0"/>
    <xf numFmtId="0" fontId="1" fillId="0" borderId="0" pivotButton="0" quotePrefix="0" xfId="0"/>
    <xf numFmtId="3" fontId="1" fillId="0" borderId="7" pivotButton="0" quotePrefix="0" xfId="0"/>
    <xf numFmtId="3" fontId="14" fillId="13" borderId="0" pivotButton="0" quotePrefix="0" xfId="0"/>
    <xf numFmtId="0" fontId="15" fillId="0" borderId="1" pivotButton="0" quotePrefix="0" xfId="0"/>
    <xf numFmtId="0" fontId="2" fillId="21" borderId="1" pivotButton="0" quotePrefix="0" xfId="0"/>
    <xf numFmtId="0" fontId="2" fillId="21" borderId="0" pivotButton="0" quotePrefix="0" xfId="0"/>
    <xf numFmtId="3" fontId="14" fillId="7" borderId="1" pivotButton="0" quotePrefix="0" xfId="0"/>
    <xf numFmtId="168" fontId="0" fillId="7" borderId="1" pivotButton="0" quotePrefix="0" xfId="0"/>
    <xf numFmtId="0" fontId="4" fillId="0" borderId="1" pivotButton="0" quotePrefix="0" xfId="0"/>
    <xf numFmtId="3" fontId="4" fillId="3" borderId="1" pivotButton="0" quotePrefix="0" xfId="0"/>
    <xf numFmtId="168" fontId="6" fillId="3" borderId="1" pivotButton="0" quotePrefix="0" xfId="0"/>
    <xf numFmtId="3" fontId="0" fillId="13" borderId="1" pivotButton="0" quotePrefix="0" xfId="0"/>
    <xf numFmtId="0" fontId="32" fillId="0" borderId="0" applyAlignment="1" pivotButton="0" quotePrefix="0" xfId="0">
      <alignment horizontal="center" vertical="center"/>
    </xf>
    <xf numFmtId="0" fontId="33" fillId="0" borderId="0" applyAlignment="1" pivotButton="0" quotePrefix="0" xfId="0">
      <alignment horizontal="center" vertical="center"/>
    </xf>
    <xf numFmtId="0" fontId="34" fillId="0" borderId="0" applyAlignment="1" pivotButton="0" quotePrefix="0" xfId="0">
      <alignment horizontal="center" vertical="center"/>
    </xf>
    <xf numFmtId="0" fontId="35" fillId="22" borderId="0" applyAlignment="1" pivotButton="0" quotePrefix="0" xfId="0">
      <alignment horizontal="left" vertical="center"/>
    </xf>
    <xf numFmtId="0" fontId="0" fillId="22" borderId="0" pivotButton="0" quotePrefix="0" xfId="0"/>
    <xf numFmtId="0" fontId="36" fillId="23" borderId="8" pivotButton="0" quotePrefix="0" xfId="0"/>
    <xf numFmtId="0" fontId="25" fillId="23" borderId="8" pivotButton="0" quotePrefix="0" xfId="0"/>
    <xf numFmtId="0" fontId="36" fillId="17" borderId="8" pivotButton="0" quotePrefix="0" xfId="0"/>
    <xf numFmtId="0" fontId="25" fillId="17" borderId="8" pivotButton="0" quotePrefix="0" xfId="0"/>
    <xf numFmtId="0" fontId="37" fillId="6" borderId="8" pivotButton="0" quotePrefix="0" xfId="0"/>
    <xf numFmtId="0" fontId="0" fillId="6" borderId="8" pivotButton="0" quotePrefix="0" xfId="0"/>
    <xf numFmtId="0" fontId="38" fillId="6" borderId="8" pivotButton="0" quotePrefix="0" xfId="0"/>
    <xf numFmtId="0" fontId="25" fillId="6" borderId="8" pivotButton="0" quotePrefix="0" xfId="0"/>
    <xf numFmtId="0" fontId="34" fillId="6" borderId="8" pivotButton="0" quotePrefix="0" xfId="0"/>
    <xf numFmtId="0" fontId="0" fillId="23" borderId="8" pivotButton="0" quotePrefix="0" xfId="0"/>
    <xf numFmtId="0" fontId="39" fillId="6" borderId="8" pivotButton="0" quotePrefix="0" xfId="0"/>
    <xf numFmtId="0" fontId="40" fillId="0" borderId="0" applyAlignment="1" pivotButton="0" quotePrefix="0" xfId="0">
      <alignment horizontal="left" vertical="center" wrapText="1"/>
    </xf>
    <xf numFmtId="0" fontId="36" fillId="23" borderId="8" applyAlignment="1" pivotButton="0" quotePrefix="0" xfId="0">
      <alignment horizontal="left"/>
    </xf>
    <xf numFmtId="0" fontId="36" fillId="23" borderId="8" applyAlignment="1" pivotButton="0" quotePrefix="0" xfId="0">
      <alignment horizontal="center"/>
    </xf>
    <xf numFmtId="0" fontId="25" fillId="6" borderId="8" applyAlignment="1" pivotButton="0" quotePrefix="0" xfId="0">
      <alignment horizontal="left"/>
    </xf>
    <xf numFmtId="0" fontId="25" fillId="6" borderId="8" applyAlignment="1" pivotButton="0" quotePrefix="0" xfId="0">
      <alignment horizontal="right"/>
    </xf>
    <xf numFmtId="0" fontId="41" fillId="0" borderId="0" applyAlignment="1" pivotButton="0" quotePrefix="0" xfId="0">
      <alignment horizontal="center" vertical="center"/>
    </xf>
    <xf numFmtId="0" fontId="42" fillId="0" borderId="0" applyAlignment="1" pivotButton="0" quotePrefix="0" xfId="0">
      <alignment horizontal="center"/>
    </xf>
    <xf numFmtId="0" fontId="43" fillId="0" borderId="0" applyAlignment="1" pivotButton="0" quotePrefix="0" xfId="0">
      <alignment horizontal="center"/>
    </xf>
    <xf numFmtId="0" fontId="9" fillId="24" borderId="0" pivotButton="0" quotePrefix="0" xfId="0"/>
    <xf numFmtId="168" fontId="7" fillId="0" borderId="1" pivotButton="0" quotePrefix="0" xfId="0"/>
    <xf numFmtId="169" fontId="7" fillId="0" borderId="1" pivotButton="0" quotePrefix="0" xfId="0"/>
    <xf numFmtId="170" fontId="7" fillId="0" borderId="1" pivotButton="0" quotePrefix="0" xfId="0"/>
    <xf numFmtId="168" fontId="14" fillId="0" borderId="1" pivotButton="0" quotePrefix="0" xfId="0"/>
    <xf numFmtId="0" fontId="0" fillId="0" borderId="11" pivotButton="0" quotePrefix="0" xfId="0"/>
    <xf numFmtId="0" fontId="0" fillId="0" borderId="12" pivotButton="0" quotePrefix="0" xfId="0"/>
    <xf numFmtId="0" fontId="9" fillId="24" borderId="13" pivotButton="0" quotePrefix="0" xfId="0"/>
    <xf numFmtId="0" fontId="0" fillId="0" borderId="15" pivotButton="0" quotePrefix="0" xfId="0"/>
    <xf numFmtId="0" fontId="0" fillId="0" borderId="13" pivotButton="0" quotePrefix="0" xfId="0"/>
    <xf numFmtId="0" fontId="11" fillId="4" borderId="0" applyAlignment="1" pivotButton="0" quotePrefix="0" xfId="0">
      <alignment horizontal="center" vertical="center"/>
    </xf>
    <xf numFmtId="0" fontId="9" fillId="25" borderId="0" applyAlignment="1" pivotButton="0" quotePrefix="0" xfId="0">
      <alignment horizontal="center" vertical="center"/>
    </xf>
    <xf numFmtId="0" fontId="8" fillId="8" borderId="8" applyAlignment="1" pivotButton="0" quotePrefix="0" xfId="0">
      <alignment horizontal="center" vertical="center" wrapText="1"/>
    </xf>
    <xf numFmtId="0" fontId="0" fillId="17" borderId="8" applyAlignment="1" pivotButton="0" quotePrefix="0" xfId="0">
      <alignment horizontal="center" vertical="top"/>
    </xf>
    <xf numFmtId="0" fontId="44" fillId="17" borderId="8" applyAlignment="1" pivotButton="0" quotePrefix="0" xfId="0">
      <alignment horizontal="left" vertical="top" wrapText="1"/>
    </xf>
    <xf numFmtId="0" fontId="0" fillId="17" borderId="8" applyAlignment="1" pivotButton="0" quotePrefix="0" xfId="0">
      <alignment horizontal="left" vertical="top" wrapText="1"/>
    </xf>
    <xf numFmtId="0" fontId="45" fillId="17" borderId="8" applyAlignment="1" pivotButton="0" quotePrefix="0" xfId="0">
      <alignment horizontal="center" vertical="top"/>
    </xf>
    <xf numFmtId="0" fontId="46" fillId="17" borderId="8" applyAlignment="1" pivotButton="0" quotePrefix="0" xfId="0">
      <alignment horizontal="center" vertical="top"/>
    </xf>
    <xf numFmtId="0" fontId="47" fillId="17" borderId="8" applyAlignment="1" pivotButton="0" quotePrefix="0" xfId="0">
      <alignment horizontal="center" vertical="top"/>
    </xf>
    <xf numFmtId="0" fontId="48" fillId="17" borderId="8" applyAlignment="1" pivotButton="0" quotePrefix="0" xfId="0">
      <alignment horizontal="left" vertical="top" wrapText="1"/>
    </xf>
    <xf numFmtId="0" fontId="49" fillId="17" borderId="8" applyAlignment="1" pivotButton="0" quotePrefix="0" xfId="0">
      <alignment horizontal="left" vertical="top" wrapText="1"/>
    </xf>
    <xf numFmtId="0" fontId="50" fillId="17" borderId="8" applyAlignment="1" pivotButton="0" quotePrefix="0" xfId="0">
      <alignment horizontal="left" vertical="top" wrapText="1"/>
    </xf>
    <xf numFmtId="0" fontId="16" fillId="15" borderId="0" applyAlignment="1" pivotButton="0" quotePrefix="0" xfId="0">
      <alignment horizontal="center" vertical="center"/>
    </xf>
    <xf numFmtId="167" fontId="6" fillId="0" borderId="0" applyAlignment="1" pivotButton="0" quotePrefix="0" xfId="0">
      <alignment horizontal="right"/>
    </xf>
    <xf numFmtId="3" fontId="6" fillId="0" borderId="0" applyAlignment="1" pivotButton="0" quotePrefix="0" xfId="0">
      <alignment horizontal="right"/>
    </xf>
    <xf numFmtId="167" fontId="10" fillId="13" borderId="0" pivotButton="0" quotePrefix="0" xfId="0"/>
    <xf numFmtId="3" fontId="10" fillId="13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styles" Target="styles.xml" Id="rId29" /><Relationship Type="http://schemas.openxmlformats.org/officeDocument/2006/relationships/theme" Target="theme/theme1.xml" Id="rId30" /></Relationships>
</file>

<file path=xl/comments/comment1.xml><?xml version="1.0" encoding="utf-8"?>
<comments xmlns="http://schemas.openxmlformats.org/spreadsheetml/2006/main">
  <authors>
    <author>Model Builder</author>
  </authors>
  <commentList>
    <comment ref="A2" authorId="0" shapeId="0">
      <text>
        <t>High-level KPIs linked to detailed financial statements</t>
      </text>
    </comment>
    <comment ref="B6" authorId="0" shapeId="0">
      <text>
        <t>Links to: Income Statement row 12 - Total Revenue</t>
      </text>
    </comment>
    <comment ref="B7" authorId="0" shapeId="0">
      <text>
        <t>Year-over-year revenue growth rate</t>
      </text>
    </comment>
    <comment ref="B8" authorId="0" shapeId="0">
      <text>
        <t>Links to: Income Statement row 29 - Gross Profit</t>
      </text>
    </comment>
    <comment ref="B9" authorId="0" shapeId="0">
      <text>
        <t>Gross Profit / Revenue</t>
      </text>
    </comment>
    <comment ref="B10" authorId="0" shapeId="0">
      <text>
        <t>Links to: Income Statement row 48 - EBITDA</t>
      </text>
    </comment>
    <comment ref="B11" authorId="0" shapeId="0">
      <text>
        <t>EBITDA / Revenue</t>
      </text>
    </comment>
    <comment ref="B12" authorId="0" shapeId="0">
      <text>
        <t>Links to: Income Statement row 58 - Net Income</t>
      </text>
    </comment>
    <comment ref="B13" authorId="0" shapeId="0">
      <text>
        <t>Net Income / Revenue</t>
      </text>
    </comment>
    <comment ref="B16" authorId="0" shapeId="0">
      <text>
        <t>Links to: Balance Sheet row 39 - TOTAL ASSETS</t>
      </text>
    </comment>
    <comment ref="B17" authorId="0" shapeId="0">
      <text>
        <t>Links to: Debt Schedule row 38 - Total Debt. Years 2021-2023 use Balance Sheet.</t>
      </text>
    </comment>
    <comment ref="B18" authorId="0" shapeId="0">
      <text>
        <t>Links to: Balance Sheet row 65 - Total Stockholders Equity</t>
      </text>
    </comment>
    <comment ref="B19" authorId="0" shapeId="0">
      <text>
        <t>Total Debt minus Cash (BS row 5)</t>
      </text>
    </comment>
    <comment ref="B22" authorId="0" shapeId="0">
      <text>
        <t>Leverage ratio: Total Debt divided by EBITDA</t>
      </text>
    </comment>
    <comment ref="B23" authorId="0" shapeId="0">
      <text>
        <t>Net leverage ratio: Net Debt divided by EBITDA</t>
      </text>
    </comment>
    <comment ref="B24" authorId="0" shapeId="0">
      <text>
        <t>EBITDA divided by Interest Expense (IS row 51)</t>
      </text>
    </comment>
    <comment ref="B25" authorId="0" shapeId="0">
      <text>
        <t>EBITDA / (Interest + Principal). DS data only for 2024+.</t>
      </text>
    </comment>
    <comment ref="B28" authorId="0" shapeId="0">
      <text>
        <t>Accounts Receivable (BS row 6) / (Revenue / 365)</t>
      </text>
    </comment>
    <comment ref="B29" authorId="0" shapeId="0">
      <text>
        <t>Accounts Payable (BS row 43) / (COGS / 365)</t>
      </text>
    </comment>
    <comment ref="B30" authorId="0" shapeId="0">
      <text>
        <t>Inventory (BS row 7) / (COGS / 365)</t>
      </text>
    </comment>
    <comment ref="B33" authorId="0" shapeId="0">
      <text>
        <t>Links to: QoE row 8 - EBITDA (Reported)</t>
      </text>
    </comment>
    <comment ref="B34" authorId="0" shapeId="0">
      <text>
        <t>Links to: QoE row 58 - Adjusted EBITDA (after all adjustments)</t>
      </text>
    </comment>
    <comment ref="B35" authorId="0" shapeId="0">
      <text>
        <t>Difference between Adjusted and Reported EBITDA</t>
      </text>
    </comment>
    <comment ref="B36" authorId="0" shapeId="0">
      <text>
        <t>Links to: QoE row 59 - Adjusted EBITDA Margin %</t>
      </text>
    </comment>
    <comment ref="B39" authorId="0" shapeId="0">
      <text>
        <t>Driver: User input for EV. Update for transaction valuation.</t>
      </text>
    </comment>
    <comment ref="B40" authorId="0" shapeId="0">
      <text>
        <t>Enterprise Value / EBITDA multiple</t>
      </text>
    </comment>
    <comment ref="B41" authorId="0" shapeId="0">
      <text>
        <t>Enterprise Value / Adjusted EBITDA multiple</t>
      </text>
    </comment>
  </commentList>
</comments>
</file>

<file path=xl/comments/comment10.xml><?xml version="1.0" encoding="utf-8"?>
<comments xmlns="http://schemas.openxmlformats.org/spreadsheetml/2006/main">
  <authors>
    <author>Model Builder</author>
  </authors>
  <commentList>
    <comment ref="C3" authorId="0" shapeId="0">
      <text>
        <t>Source: Meiborg_Debt_Schedule_202511.xlsx
Extracted: 2025-11-30</t>
      </text>
    </comment>
    <comment ref="C5" authorId="0" shapeId="0">
      <text>
        <t>Source: Meiborg_Debt_Schedule_202511.xlsx - Paccar Total
Extracted: 2025-11-30</t>
      </text>
    </comment>
    <comment ref="C6" authorId="0" shapeId="0">
      <text>
        <t>Source: Meiborg_Debt_Schedule_202511.xlsx - Paccar Total
Extracted: 2025-11-30</t>
      </text>
    </comment>
    <comment ref="C32" authorId="0" shapeId="0">
      <text>
        <t>Sum of rows 10-31: Remaining balances</t>
      </text>
    </comment>
    <comment ref="D32" authorId="0" shapeId="0">
      <text>
        <t>Sum of rows 10-31: Monthly payments</t>
      </text>
    </comment>
    <comment ref="C38" authorId="0" shapeId="0">
      <text>
        <t>Source: Meiborg_Debt_Schedule_202511.xlsx
Extracted: 2025-11-30</t>
      </text>
    </comment>
    <comment ref="C39" authorId="0" shapeId="0">
      <text>
        <t>Source: Meiborg_Debt_Schedule_202511.xlsx
Extracted: 2025-11-30</t>
      </text>
    </comment>
    <comment ref="C40" authorId="0" shapeId="0">
      <text>
        <t>Source: Meiborg_Debt_Schedule_202511.xlsx
Extracted: 2025-11-30</t>
      </text>
    </comment>
    <comment ref="C41" authorId="0" shapeId="0">
      <text>
        <t>Source: Meiborg_Debt_Schedule_202511.xlsx
Extracted: 2025-11-30</t>
      </text>
    </comment>
    <comment ref="C42" authorId="0" shapeId="0">
      <text>
        <t>Source: Meiborg_Debt_Schedule_202511.xlsx
Extracted: 2025-11-30</t>
      </text>
    </comment>
    <comment ref="C43" authorId="0" shapeId="0">
      <text>
        <t>Source: Meiborg_Debt_Schedule_202511.xlsx
Extracted: 2025-11-30</t>
      </text>
    </comment>
    <comment ref="C44" authorId="0" shapeId="0">
      <text>
        <t>Source: Meiborg_Debt_Schedule_202511.xlsx
Extracted: 2025-11-30</t>
      </text>
    </comment>
    <comment ref="C45" authorId="0" shapeId="0">
      <text>
        <t>Source: Meiborg_Debt_Schedule_202511.xlsx
Extracted: 2025-11-30</t>
      </text>
    </comment>
    <comment ref="C46" authorId="0" shapeId="0">
      <text>
        <t>Driver: Standard amortizing equipment loan.
Derived from: Paccar Financial equipment financing.</t>
      </text>
    </comment>
    <comment ref="D50" authorId="0" shapeId="0">
      <text>
        <t>Loan: Paccar Financial, 15 Kenworth T-680 Sleepers (Dec 2020). Source: Meiborg_Debt_Schedule_202511.xlsx</t>
      </text>
    </comment>
    <comment ref="D51" authorId="0" shapeId="0">
      <text>
        <t>Loan: Paccar Financial, 15 Kenworth T-680 Sleepers (Dec 2020). Source: Meiborg_Debt_Schedule_202511.xlsx</t>
      </text>
    </comment>
    <comment ref="D52" authorId="0" shapeId="0">
      <text>
        <t>Loan: Paccar Financial, 15 Kenworth T-680 Sleepers (Dec 2020). Source: Meiborg_Debt_Schedule_202511.xlsx</t>
      </text>
    </comment>
    <comment ref="D53" authorId="0" shapeId="0">
      <text>
        <t>Loan: Paccar Financial, 15 Kenworth T-680 Sleepers (Dec 2020). Source: Meiborg_Debt_Schedule_202511.xlsx</t>
      </text>
    </comment>
    <comment ref="D54" authorId="0" shapeId="0">
      <text>
        <t>Loan: Paccar Financial, 15 Kenworth T-680 Sleepers (Dec 2020). Source: Meiborg_Debt_Schedule_202511.xlsx</t>
      </text>
    </comment>
    <comment ref="D55" authorId="0" shapeId="0">
      <text>
        <t>Loan: Paccar Financial, 15 Kenworth T-680 Sleepers (Dec 2020). Source: Meiborg_Debt_Schedule_202511.xlsx</t>
      </text>
    </comment>
    <comment ref="D56" authorId="0" shapeId="0">
      <text>
        <t>Loan: Paccar Financial, 15 Kenworth T-680 Sleepers (Dec 2020). Source: Meiborg_Debt_Schedule_202511.xlsx</t>
      </text>
    </comment>
    <comment ref="D57" authorId="0" shapeId="0">
      <text>
        <t>Loan: Paccar Financial, 15 Kenworth T-680 Sleepers (Dec 2020). Source: Meiborg_Debt_Schedule_202511.xlsx</t>
      </text>
    </comment>
    <comment ref="D58" authorId="0" shapeId="0">
      <text>
        <t>Loan: Paccar Financial, 15 Kenworth T-680 Sleepers (Dec 2020). Source: Meiborg_Debt_Schedule_202511.xlsx</t>
      </text>
    </comment>
    <comment ref="D59" authorId="0" shapeId="0">
      <text>
        <t>Loan: Paccar Financial, 15 Kenworth T-680 Sleepers (Dec 2020). Source: Meiborg_Debt_Schedule_202511.xlsx</t>
      </text>
    </comment>
    <comment ref="D60" authorId="0" shapeId="0">
      <text>
        <t>Loan: Paccar Financial, 15 Kenworth T-680 Sleepers (Dec 2020). Source: Meiborg_Debt_Schedule_202511.xlsx</t>
      </text>
    </comment>
    <comment ref="D61" authorId="0" shapeId="0">
      <text>
        <t>Sum of rows 50-60: Interest payments</t>
      </text>
    </comment>
    <comment ref="E61" authorId="0" shapeId="0">
      <text>
        <t>Sum of rows 50-60: Principal payments</t>
      </text>
    </comment>
    <comment ref="C64" authorId="0" shapeId="0">
      <text>
        <t>Source: Meiborg_Debt_Schedule_202511.xlsx
Extracted: 2025-11-30</t>
      </text>
    </comment>
    <comment ref="C65" authorId="0" shapeId="0">
      <text>
        <t>Source: Meiborg_Debt_Schedule_202511.xlsx
Extracted: 2025-11-30</t>
      </text>
    </comment>
    <comment ref="C66" authorId="0" shapeId="0">
      <text>
        <t>Source: Meiborg_Debt_Schedule_202511.xlsx
Extracted: 2025-11-30</t>
      </text>
    </comment>
    <comment ref="C67" authorId="0" shapeId="0">
      <text>
        <t>Source: Meiborg_Debt_Schedule_202511.xlsx
Extracted: 2025-11-30</t>
      </text>
    </comment>
    <comment ref="C68" authorId="0" shapeId="0">
      <text>
        <t>Source: Meiborg_Debt_Schedule_202511.xlsx
Extracted: 2025-11-30</t>
      </text>
    </comment>
    <comment ref="C69" authorId="0" shapeId="0">
      <text>
        <t>Source: Meiborg_Debt_Schedule_202511.xlsx
Extracted: 2025-11-30</t>
      </text>
    </comment>
    <comment ref="C70" authorId="0" shapeId="0">
      <text>
        <t>Source: Meiborg_Debt_Schedule_202511.xlsx
Extracted: 2025-11-30</t>
      </text>
    </comment>
    <comment ref="C71" authorId="0" shapeId="0">
      <text>
        <t>Source: Meiborg_Debt_Schedule_202511.xlsx
Extracted: 2025-11-30</t>
      </text>
    </comment>
    <comment ref="C72" authorId="0" shapeId="0">
      <text>
        <t>Driver: Standard amortizing equipment loan.
Derived from: Paccar Financial equipment financing.</t>
      </text>
    </comment>
    <comment ref="D76" authorId="0" shapeId="0">
      <text>
        <t>Loan: Paccar Financial, Kenworth T880 Wrecker (Jan 2020). Source: Meiborg_Debt_Schedule_202511.xlsx</t>
      </text>
    </comment>
    <comment ref="D77" authorId="0" shapeId="0">
      <text>
        <t>Loan: Paccar Financial, Kenworth T880 Wrecker (Jan 2020). Source: Meiborg_Debt_Schedule_202511.xlsx</t>
      </text>
    </comment>
    <comment ref="D78" authorId="0" shapeId="0">
      <text>
        <t>Loan: Paccar Financial, Kenworth T880 Wrecker (Jan 2020). Source: Meiborg_Debt_Schedule_202511.xlsx</t>
      </text>
    </comment>
    <comment ref="D79" authorId="0" shapeId="0">
      <text>
        <t>Loan: Paccar Financial, Kenworth T880 Wrecker (Jan 2020). Source: Meiborg_Debt_Schedule_202511.xlsx</t>
      </text>
    </comment>
    <comment ref="D80" authorId="0" shapeId="0">
      <text>
        <t>Loan: Paccar Financial, Kenworth T880 Wrecker (Jan 2020). Source: Meiborg_Debt_Schedule_202511.xlsx</t>
      </text>
    </comment>
    <comment ref="D81" authorId="0" shapeId="0">
      <text>
        <t>Loan: Paccar Financial, Kenworth T880 Wrecker (Jan 2020). Source: Meiborg_Debt_Schedule_202511.xlsx</t>
      </text>
    </comment>
    <comment ref="D82" authorId="0" shapeId="0">
      <text>
        <t>Loan: Paccar Financial, Kenworth T880 Wrecker (Jan 2020). Source: Meiborg_Debt_Schedule_202511.xlsx</t>
      </text>
    </comment>
    <comment ref="D83" authorId="0" shapeId="0">
      <text>
        <t>Loan: Paccar Financial, Kenworth T880 Wrecker (Jan 2020). Source: Meiborg_Debt_Schedule_202511.xlsx</t>
      </text>
    </comment>
    <comment ref="D84" authorId="0" shapeId="0">
      <text>
        <t>Loan: Paccar Financial, Kenworth T880 Wrecker (Jan 2020). Source: Meiborg_Debt_Schedule_202511.xlsx</t>
      </text>
    </comment>
    <comment ref="D85" authorId="0" shapeId="0">
      <text>
        <t>Loan: Paccar Financial, Kenworth T880 Wrecker (Jan 2020). Source: Meiborg_Debt_Schedule_202511.xlsx</t>
      </text>
    </comment>
    <comment ref="D86" authorId="0" shapeId="0">
      <text>
        <t>Loan: Paccar Financial, Kenworth T880 Wrecker (Jan 2020). Source: Meiborg_Debt_Schedule_202511.xlsx</t>
      </text>
    </comment>
    <comment ref="D87" authorId="0" shapeId="0">
      <text>
        <t>Sum of rows 76-86: Interest payments</t>
      </text>
    </comment>
    <comment ref="E87" authorId="0" shapeId="0">
      <text>
        <t>Sum of rows 76-86: Principal payments</t>
      </text>
    </comment>
    <comment ref="C90" authorId="0" shapeId="0">
      <text>
        <t>Source: Meiborg_Debt_Schedule_202511.xlsx
Extracted: 2025-11-30</t>
      </text>
    </comment>
    <comment ref="C91" authorId="0" shapeId="0">
      <text>
        <t>Source: Meiborg_Debt_Schedule_202511.xlsx
Extracted: 2025-11-30</t>
      </text>
    </comment>
    <comment ref="C92" authorId="0" shapeId="0">
      <text>
        <t>Source: Meiborg_Debt_Schedule_202511.xlsx
Extracted: 2025-11-30</t>
      </text>
    </comment>
    <comment ref="C93" authorId="0" shapeId="0">
      <text>
        <t>Source: Meiborg_Debt_Schedule_202511.xlsx
Extracted: 2025-11-30</t>
      </text>
    </comment>
    <comment ref="C94" authorId="0" shapeId="0">
      <text>
        <t>Source: Meiborg_Debt_Schedule_202511.xlsx
Extracted: 2025-11-30</t>
      </text>
    </comment>
    <comment ref="C95" authorId="0" shapeId="0">
      <text>
        <t>Source: Meiborg_Debt_Schedule_202511.xlsx
Extracted: 2025-11-30</t>
      </text>
    </comment>
    <comment ref="C96" authorId="0" shapeId="0">
      <text>
        <t>Source: Meiborg_Debt_Schedule_202511.xlsx
Extracted: 2025-11-30</t>
      </text>
    </comment>
    <comment ref="C97" authorId="0" shapeId="0">
      <text>
        <t>Source: Meiborg_Debt_Schedule_202511.xlsx
Extracted: 2025-11-30</t>
      </text>
    </comment>
    <comment ref="C98" authorId="0" shapeId="0">
      <text>
        <t>Driver: Standard amortizing equipment loan.
Derived from: Paccar Financial equipment financing.</t>
      </text>
    </comment>
    <comment ref="D102" authorId="0" shapeId="0">
      <text>
        <t>Loan: Paccar Financial, 4 T880 Day Cabs (July 2021). Source: Meiborg_Debt_Schedule_202511.xlsx</t>
      </text>
    </comment>
    <comment ref="D103" authorId="0" shapeId="0">
      <text>
        <t>Loan: Paccar Financial, 4 T880 Day Cabs (July 2021). Source: Meiborg_Debt_Schedule_202511.xlsx</t>
      </text>
    </comment>
    <comment ref="D104" authorId="0" shapeId="0">
      <text>
        <t>Loan: Paccar Financial, 4 T880 Day Cabs (July 2021). Source: Meiborg_Debt_Schedule_202511.xlsx</t>
      </text>
    </comment>
    <comment ref="D105" authorId="0" shapeId="0">
      <text>
        <t>Loan: Paccar Financial, 4 T880 Day Cabs (July 2021). Source: Meiborg_Debt_Schedule_202511.xlsx</t>
      </text>
    </comment>
    <comment ref="D106" authorId="0" shapeId="0">
      <text>
        <t>Loan: Paccar Financial, 4 T880 Day Cabs (July 2021). Source: Meiborg_Debt_Schedule_202511.xlsx</t>
      </text>
    </comment>
    <comment ref="D107" authorId="0" shapeId="0">
      <text>
        <t>Loan: Paccar Financial, 4 T880 Day Cabs (July 2021). Source: Meiborg_Debt_Schedule_202511.xlsx</t>
      </text>
    </comment>
    <comment ref="D108" authorId="0" shapeId="0">
      <text>
        <t>Loan: Paccar Financial, 4 T880 Day Cabs (July 2021). Source: Meiborg_Debt_Schedule_202511.xlsx</t>
      </text>
    </comment>
    <comment ref="D109" authorId="0" shapeId="0">
      <text>
        <t>Loan: Paccar Financial, 4 T880 Day Cabs (July 2021). Source: Meiborg_Debt_Schedule_202511.xlsx</t>
      </text>
    </comment>
    <comment ref="D110" authorId="0" shapeId="0">
      <text>
        <t>Loan: Paccar Financial, 4 T880 Day Cabs (July 2021). Source: Meiborg_Debt_Schedule_202511.xlsx</t>
      </text>
    </comment>
    <comment ref="D111" authorId="0" shapeId="0">
      <text>
        <t>Loan: Paccar Financial, 4 T880 Day Cabs (July 2021). Source: Meiborg_Debt_Schedule_202511.xlsx</t>
      </text>
    </comment>
    <comment ref="D112" authorId="0" shapeId="0">
      <text>
        <t>Loan: Paccar Financial, 4 T880 Day Cabs (July 2021). Source: Meiborg_Debt_Schedule_202511.xlsx</t>
      </text>
    </comment>
    <comment ref="D113" authorId="0" shapeId="0">
      <text>
        <t>Loan: Paccar Financial, 4 T880 Day Cabs (July 2021). Source: Meiborg_Debt_Schedule_202511.xlsx</t>
      </text>
    </comment>
    <comment ref="D114" authorId="0" shapeId="0">
      <text>
        <t>Loan: Paccar Financial, 4 T880 Day Cabs (July 2021). Source: Meiborg_Debt_Schedule_202511.xlsx</t>
      </text>
    </comment>
    <comment ref="D115" authorId="0" shapeId="0">
      <text>
        <t>Loan: Paccar Financial, 4 T880 Day Cabs (July 2021). Source: Meiborg_Debt_Schedule_202511.xlsx</t>
      </text>
    </comment>
    <comment ref="D116" authorId="0" shapeId="0">
      <text>
        <t>Loan: Paccar Financial, 4 T880 Day Cabs (July 2021). Source: Meiborg_Debt_Schedule_202511.xlsx</t>
      </text>
    </comment>
    <comment ref="D117" authorId="0" shapeId="0">
      <text>
        <t>Sum of rows 102-116: Interest payments</t>
      </text>
    </comment>
    <comment ref="E117" authorId="0" shapeId="0">
      <text>
        <t>Sum of rows 102-116: Principal payments</t>
      </text>
    </comment>
    <comment ref="C120" authorId="0" shapeId="0">
      <text>
        <t>Source: Meiborg_Debt_Schedule_202511.xlsx
Extracted: 2025-11-30</t>
      </text>
    </comment>
    <comment ref="C121" authorId="0" shapeId="0">
      <text>
        <t>Source: Meiborg_Debt_Schedule_202511.xlsx
Extracted: 2025-11-30</t>
      </text>
    </comment>
    <comment ref="C122" authorId="0" shapeId="0">
      <text>
        <t>Source: Meiborg_Debt_Schedule_202511.xlsx
Extracted: 2025-11-30</t>
      </text>
    </comment>
    <comment ref="C123" authorId="0" shapeId="0">
      <text>
        <t>Source: Meiborg_Debt_Schedule_202511.xlsx
Extracted: 2025-11-30</t>
      </text>
    </comment>
    <comment ref="C124" authorId="0" shapeId="0">
      <text>
        <t>Source: Meiborg_Debt_Schedule_202511.xlsx
Extracted: 2025-11-30</t>
      </text>
    </comment>
    <comment ref="C125" authorId="0" shapeId="0">
      <text>
        <t>Source: Meiborg_Debt_Schedule_202511.xlsx
Extracted: 2025-11-30</t>
      </text>
    </comment>
    <comment ref="C126" authorId="0" shapeId="0">
      <text>
        <t>Source: Meiborg_Debt_Schedule_202511.xlsx
Extracted: 2025-11-30</t>
      </text>
    </comment>
    <comment ref="C127" authorId="0" shapeId="0">
      <text>
        <t>Source: Meiborg_Debt_Schedule_202511.xlsx
Extracted: 2025-11-30</t>
      </text>
    </comment>
    <comment ref="C128" authorId="0" shapeId="0">
      <text>
        <t>Driver: Standard amortizing equipment loan.
Derived from: Paccar Financial equipment financing.</t>
      </text>
    </comment>
    <comment ref="D132" authorId="0" shapeId="0">
      <text>
        <t>Loan: Paccar Financial, 1 T880 &amp; 1 T680 (Aug 2021). Source: Meiborg_Debt_Schedule_202511.xlsx</t>
      </text>
    </comment>
    <comment ref="D133" authorId="0" shapeId="0">
      <text>
        <t>Loan: Paccar Financial, 1 T880 &amp; 1 T680 (Aug 2021). Source: Meiborg_Debt_Schedule_202511.xlsx</t>
      </text>
    </comment>
    <comment ref="D134" authorId="0" shapeId="0">
      <text>
        <t>Loan: Paccar Financial, 1 T880 &amp; 1 T680 (Aug 2021). Source: Meiborg_Debt_Schedule_202511.xlsx</t>
      </text>
    </comment>
    <comment ref="D135" authorId="0" shapeId="0">
      <text>
        <t>Loan: Paccar Financial, 1 T880 &amp; 1 T680 (Aug 2021). Source: Meiborg_Debt_Schedule_202511.xlsx</t>
      </text>
    </comment>
    <comment ref="D136" authorId="0" shapeId="0">
      <text>
        <t>Loan: Paccar Financial, 1 T880 &amp; 1 T680 (Aug 2021). Source: Meiborg_Debt_Schedule_202511.xlsx</t>
      </text>
    </comment>
    <comment ref="D137" authorId="0" shapeId="0">
      <text>
        <t>Loan: Paccar Financial, 1 T880 &amp; 1 T680 (Aug 2021). Source: Meiborg_Debt_Schedule_202511.xlsx</t>
      </text>
    </comment>
    <comment ref="D138" authorId="0" shapeId="0">
      <text>
        <t>Loan: Paccar Financial, 1 T880 &amp; 1 T680 (Aug 2021). Source: Meiborg_Debt_Schedule_202511.xlsx</t>
      </text>
    </comment>
    <comment ref="D139" authorId="0" shapeId="0">
      <text>
        <t>Loan: Paccar Financial, 1 T880 &amp; 1 T680 (Aug 2021). Source: Meiborg_Debt_Schedule_202511.xlsx</t>
      </text>
    </comment>
    <comment ref="D140" authorId="0" shapeId="0">
      <text>
        <t>Loan: Paccar Financial, 1 T880 &amp; 1 T680 (Aug 2021). Source: Meiborg_Debt_Schedule_202511.xlsx</t>
      </text>
    </comment>
    <comment ref="D141" authorId="0" shapeId="0">
      <text>
        <t>Loan: Paccar Financial, 1 T880 &amp; 1 T680 (Aug 2021). Source: Meiborg_Debt_Schedule_202511.xlsx</t>
      </text>
    </comment>
    <comment ref="D142" authorId="0" shapeId="0">
      <text>
        <t>Loan: Paccar Financial, 1 T880 &amp; 1 T680 (Aug 2021). Source: Meiborg_Debt_Schedule_202511.xlsx</t>
      </text>
    </comment>
    <comment ref="D143" authorId="0" shapeId="0">
      <text>
        <t>Loan: Paccar Financial, 1 T880 &amp; 1 T680 (Aug 2021). Source: Meiborg_Debt_Schedule_202511.xlsx</t>
      </text>
    </comment>
    <comment ref="D144" authorId="0" shapeId="0">
      <text>
        <t>Loan: Paccar Financial, 1 T880 &amp; 1 T680 (Aug 2021). Source: Meiborg_Debt_Schedule_202511.xlsx</t>
      </text>
    </comment>
    <comment ref="D145" authorId="0" shapeId="0">
      <text>
        <t>Loan: Paccar Financial, 1 T880 &amp; 1 T680 (Aug 2021). Source: Meiborg_Debt_Schedule_202511.xlsx</t>
      </text>
    </comment>
    <comment ref="D146" authorId="0" shapeId="0">
      <text>
        <t>Loan: Paccar Financial, 1 T880 &amp; 1 T680 (Aug 2021). Source: Meiborg_Debt_Schedule_202511.xlsx</t>
      </text>
    </comment>
    <comment ref="D147" authorId="0" shapeId="0">
      <text>
        <t>Loan: Paccar Financial, 1 T880 &amp; 1 T680 (Aug 2021). Source: Meiborg_Debt_Schedule_202511.xlsx</t>
      </text>
    </comment>
    <comment ref="D148" authorId="0" shapeId="0">
      <text>
        <t>Loan: Paccar Financial, 1 T880 &amp; 1 T680 (Aug 2021). Source: Meiborg_Debt_Schedule_202511.xlsx</t>
      </text>
    </comment>
    <comment ref="D149" authorId="0" shapeId="0">
      <text>
        <t>Loan: Paccar Financial, 1 T880 &amp; 1 T680 (Aug 2021). Source: Meiborg_Debt_Schedule_202511.xlsx</t>
      </text>
    </comment>
    <comment ref="D150" authorId="0" shapeId="0">
      <text>
        <t>Loan: Paccar Financial, 1 T880 &amp; 1 T680 (Aug 2021). Source: Meiborg_Debt_Schedule_202511.xlsx</t>
      </text>
    </comment>
    <comment ref="D151" authorId="0" shapeId="0">
      <text>
        <t>Sum of rows 132-150: Interest payments</t>
      </text>
    </comment>
    <comment ref="E151" authorId="0" shapeId="0">
      <text>
        <t>Sum of rows 132-150: Principal payments</t>
      </text>
    </comment>
    <comment ref="C154" authorId="0" shapeId="0">
      <text>
        <t>Source: Meiborg_Debt_Schedule_202511.xlsx
Extracted: 2025-11-30</t>
      </text>
    </comment>
    <comment ref="C155" authorId="0" shapeId="0">
      <text>
        <t>Source: Meiborg_Debt_Schedule_202511.xlsx
Extracted: 2025-11-30</t>
      </text>
    </comment>
    <comment ref="C156" authorId="0" shapeId="0">
      <text>
        <t>Source: Meiborg_Debt_Schedule_202511.xlsx
Extracted: 2025-11-30</t>
      </text>
    </comment>
    <comment ref="C157" authorId="0" shapeId="0">
      <text>
        <t>Source: Meiborg_Debt_Schedule_202511.xlsx
Extracted: 2025-11-30</t>
      </text>
    </comment>
    <comment ref="C158" authorId="0" shapeId="0">
      <text>
        <t>Source: Meiborg_Debt_Schedule_202511.xlsx
Extracted: 2025-11-30</t>
      </text>
    </comment>
    <comment ref="C159" authorId="0" shapeId="0">
      <text>
        <t>Source: Meiborg_Debt_Schedule_202511.xlsx
Extracted: 2025-11-30</t>
      </text>
    </comment>
    <comment ref="C160" authorId="0" shapeId="0">
      <text>
        <t>Source: Meiborg_Debt_Schedule_202511.xlsx
Extracted: 2025-11-30</t>
      </text>
    </comment>
    <comment ref="C161" authorId="0" shapeId="0">
      <text>
        <t>Source: Meiborg_Debt_Schedule_202511.xlsx
Extracted: 2025-11-30</t>
      </text>
    </comment>
    <comment ref="C162" authorId="0" shapeId="0">
      <text>
        <t>Driver: Standard amortizing equipment loan.
Derived from: Paccar Financial equipment financing.</t>
      </text>
    </comment>
    <comment ref="D166" authorId="0" shapeId="0">
      <text>
        <t>Loan: Paccar Financial, 1 T680 (Sept 2021). Source: Meiborg_Debt_Schedule_202511.xlsx</t>
      </text>
    </comment>
    <comment ref="D167" authorId="0" shapeId="0">
      <text>
        <t>Loan: Paccar Financial, 1 T680 (Sept 2021). Source: Meiborg_Debt_Schedule_202511.xlsx</t>
      </text>
    </comment>
    <comment ref="D168" authorId="0" shapeId="0">
      <text>
        <t>Loan: Paccar Financial, 1 T680 (Sept 2021). Source: Meiborg_Debt_Schedule_202511.xlsx</t>
      </text>
    </comment>
    <comment ref="D169" authorId="0" shapeId="0">
      <text>
        <t>Loan: Paccar Financial, 1 T680 (Sept 2021). Source: Meiborg_Debt_Schedule_202511.xlsx</t>
      </text>
    </comment>
    <comment ref="D170" authorId="0" shapeId="0">
      <text>
        <t>Loan: Paccar Financial, 1 T680 (Sept 2021). Source: Meiborg_Debt_Schedule_202511.xlsx</t>
      </text>
    </comment>
    <comment ref="D171" authorId="0" shapeId="0">
      <text>
        <t>Loan: Paccar Financial, 1 T680 (Sept 2021). Source: Meiborg_Debt_Schedule_202511.xlsx</t>
      </text>
    </comment>
    <comment ref="D172" authorId="0" shapeId="0">
      <text>
        <t>Loan: Paccar Financial, 1 T680 (Sept 2021). Source: Meiborg_Debt_Schedule_202511.xlsx</t>
      </text>
    </comment>
    <comment ref="D173" authorId="0" shapeId="0">
      <text>
        <t>Loan: Paccar Financial, 1 T680 (Sept 2021). Source: Meiborg_Debt_Schedule_202511.xlsx</t>
      </text>
    </comment>
    <comment ref="D174" authorId="0" shapeId="0">
      <text>
        <t>Loan: Paccar Financial, 1 T680 (Sept 2021). Source: Meiborg_Debt_Schedule_202511.xlsx</t>
      </text>
    </comment>
    <comment ref="D175" authorId="0" shapeId="0">
      <text>
        <t>Loan: Paccar Financial, 1 T680 (Sept 2021). Source: Meiborg_Debt_Schedule_202511.xlsx</t>
      </text>
    </comment>
    <comment ref="D176" authorId="0" shapeId="0">
      <text>
        <t>Loan: Paccar Financial, 1 T680 (Sept 2021). Source: Meiborg_Debt_Schedule_202511.xlsx</t>
      </text>
    </comment>
    <comment ref="D177" authorId="0" shapeId="0">
      <text>
        <t>Loan: Paccar Financial, 1 T680 (Sept 2021). Source: Meiborg_Debt_Schedule_202511.xlsx</t>
      </text>
    </comment>
    <comment ref="D178" authorId="0" shapeId="0">
      <text>
        <t>Loan: Paccar Financial, 1 T680 (Sept 2021). Source: Meiborg_Debt_Schedule_202511.xlsx</t>
      </text>
    </comment>
    <comment ref="D179" authorId="0" shapeId="0">
      <text>
        <t>Loan: Paccar Financial, 1 T680 (Sept 2021). Source: Meiborg_Debt_Schedule_202511.xlsx</t>
      </text>
    </comment>
    <comment ref="D180" authorId="0" shapeId="0">
      <text>
        <t>Loan: Paccar Financial, 1 T680 (Sept 2021). Source: Meiborg_Debt_Schedule_202511.xlsx</t>
      </text>
    </comment>
    <comment ref="D181" authorId="0" shapeId="0">
      <text>
        <t>Loan: Paccar Financial, 1 T680 (Sept 2021). Source: Meiborg_Debt_Schedule_202511.xlsx</t>
      </text>
    </comment>
    <comment ref="D182" authorId="0" shapeId="0">
      <text>
        <t>Loan: Paccar Financial, 1 T680 (Sept 2021). Source: Meiborg_Debt_Schedule_202511.xlsx</t>
      </text>
    </comment>
    <comment ref="D183" authorId="0" shapeId="0">
      <text>
        <t>Loan: Paccar Financial, 1 T680 (Sept 2021). Source: Meiborg_Debt_Schedule_202511.xlsx</t>
      </text>
    </comment>
    <comment ref="D184" authorId="0" shapeId="0">
      <text>
        <t>Loan: Paccar Financial, 1 T680 (Sept 2021). Source: Meiborg_Debt_Schedule_202511.xlsx</t>
      </text>
    </comment>
    <comment ref="D185" authorId="0" shapeId="0">
      <text>
        <t>Loan: Paccar Financial, 1 T680 (Sept 2021). Source: Meiborg_Debt_Schedule_202511.xlsx</t>
      </text>
    </comment>
    <comment ref="D186" authorId="0" shapeId="0">
      <text>
        <t>Sum of rows 166-185: Interest payments</t>
      </text>
    </comment>
    <comment ref="E186" authorId="0" shapeId="0">
      <text>
        <t>Sum of rows 166-185: Principal payments</t>
      </text>
    </comment>
    <comment ref="C189" authorId="0" shapeId="0">
      <text>
        <t>Source: Meiborg_Debt_Schedule_202511.xlsx
Extracted: 2025-11-30</t>
      </text>
    </comment>
    <comment ref="C190" authorId="0" shapeId="0">
      <text>
        <t>Source: Meiborg_Debt_Schedule_202511.xlsx
Extracted: 2025-11-30</t>
      </text>
    </comment>
    <comment ref="C191" authorId="0" shapeId="0">
      <text>
        <t>Source: Meiborg_Debt_Schedule_202511.xlsx
Extracted: 2025-11-30</t>
      </text>
    </comment>
    <comment ref="C192" authorId="0" shapeId="0">
      <text>
        <t>Source: Meiborg_Debt_Schedule_202511.xlsx
Extracted: 2025-11-30</t>
      </text>
    </comment>
    <comment ref="C193" authorId="0" shapeId="0">
      <text>
        <t>Source: Meiborg_Debt_Schedule_202511.xlsx
Extracted: 2025-11-30</t>
      </text>
    </comment>
    <comment ref="C194" authorId="0" shapeId="0">
      <text>
        <t>Source: Meiborg_Debt_Schedule_202511.xlsx
Extracted: 2025-11-30</t>
      </text>
    </comment>
    <comment ref="C195" authorId="0" shapeId="0">
      <text>
        <t>Source: Meiborg_Debt_Schedule_202511.xlsx
Extracted: 2025-11-30</t>
      </text>
    </comment>
    <comment ref="C196" authorId="0" shapeId="0">
      <text>
        <t>Source: Meiborg_Debt_Schedule_202511.xlsx
Extracted: 2025-11-30</t>
      </text>
    </comment>
    <comment ref="C197" authorId="0" shapeId="0">
      <text>
        <t>Driver: Standard amortizing equipment loan.
Derived from: Paccar Financial equipment financing.</t>
      </text>
    </comment>
    <comment ref="D201" authorId="0" shapeId="0">
      <text>
        <t>Loan: Paccar Financial, 3 T680 (Oct 2021). Source: Meiborg_Debt_Schedule_202511.xlsx</t>
      </text>
    </comment>
    <comment ref="D202" authorId="0" shapeId="0">
      <text>
        <t>Loan: Paccar Financial, 3 T680 (Oct 2021). Source: Meiborg_Debt_Schedule_202511.xlsx</t>
      </text>
    </comment>
    <comment ref="D203" authorId="0" shapeId="0">
      <text>
        <t>Loan: Paccar Financial, 3 T680 (Oct 2021). Source: Meiborg_Debt_Schedule_202511.xlsx</t>
      </text>
    </comment>
    <comment ref="D204" authorId="0" shapeId="0">
      <text>
        <t>Loan: Paccar Financial, 3 T680 (Oct 2021). Source: Meiborg_Debt_Schedule_202511.xlsx</t>
      </text>
    </comment>
    <comment ref="D205" authorId="0" shapeId="0">
      <text>
        <t>Loan: Paccar Financial, 3 T680 (Oct 2021). Source: Meiborg_Debt_Schedule_202511.xlsx</t>
      </text>
    </comment>
    <comment ref="D206" authorId="0" shapeId="0">
      <text>
        <t>Loan: Paccar Financial, 3 T680 (Oct 2021). Source: Meiborg_Debt_Schedule_202511.xlsx</t>
      </text>
    </comment>
    <comment ref="D207" authorId="0" shapeId="0">
      <text>
        <t>Loan: Paccar Financial, 3 T680 (Oct 2021). Source: Meiborg_Debt_Schedule_202511.xlsx</t>
      </text>
    </comment>
    <comment ref="D208" authorId="0" shapeId="0">
      <text>
        <t>Loan: Paccar Financial, 3 T680 (Oct 2021). Source: Meiborg_Debt_Schedule_202511.xlsx</t>
      </text>
    </comment>
    <comment ref="D209" authorId="0" shapeId="0">
      <text>
        <t>Loan: Paccar Financial, 3 T680 (Oct 2021). Source: Meiborg_Debt_Schedule_202511.xlsx</t>
      </text>
    </comment>
    <comment ref="D210" authorId="0" shapeId="0">
      <text>
        <t>Loan: Paccar Financial, 3 T680 (Oct 2021). Source: Meiborg_Debt_Schedule_202511.xlsx</t>
      </text>
    </comment>
    <comment ref="D211" authorId="0" shapeId="0">
      <text>
        <t>Loan: Paccar Financial, 3 T680 (Oct 2021). Source: Meiborg_Debt_Schedule_202511.xlsx</t>
      </text>
    </comment>
    <comment ref="D212" authorId="0" shapeId="0">
      <text>
        <t>Loan: Paccar Financial, 3 T680 (Oct 2021). Source: Meiborg_Debt_Schedule_202511.xlsx</t>
      </text>
    </comment>
    <comment ref="D213" authorId="0" shapeId="0">
      <text>
        <t>Loan: Paccar Financial, 3 T680 (Oct 2021). Source: Meiborg_Debt_Schedule_202511.xlsx</t>
      </text>
    </comment>
    <comment ref="D214" authorId="0" shapeId="0">
      <text>
        <t>Loan: Paccar Financial, 3 T680 (Oct 2021). Source: Meiborg_Debt_Schedule_202511.xlsx</t>
      </text>
    </comment>
    <comment ref="D215" authorId="0" shapeId="0">
      <text>
        <t>Loan: Paccar Financial, 3 T680 (Oct 2021). Source: Meiborg_Debt_Schedule_202511.xlsx</t>
      </text>
    </comment>
    <comment ref="D216" authorId="0" shapeId="0">
      <text>
        <t>Loan: Paccar Financial, 3 T680 (Oct 2021). Source: Meiborg_Debt_Schedule_202511.xlsx</t>
      </text>
    </comment>
    <comment ref="D217" authorId="0" shapeId="0">
      <text>
        <t>Loan: Paccar Financial, 3 T680 (Oct 2021). Source: Meiborg_Debt_Schedule_202511.xlsx</t>
      </text>
    </comment>
    <comment ref="D218" authorId="0" shapeId="0">
      <text>
        <t>Loan: Paccar Financial, 3 T680 (Oct 2021). Source: Meiborg_Debt_Schedule_202511.xlsx</t>
      </text>
    </comment>
    <comment ref="D219" authorId="0" shapeId="0">
      <text>
        <t>Loan: Paccar Financial, 3 T680 (Oct 2021). Source: Meiborg_Debt_Schedule_202511.xlsx</t>
      </text>
    </comment>
    <comment ref="D220" authorId="0" shapeId="0">
      <text>
        <t>Loan: Paccar Financial, 3 T680 (Oct 2021). Source: Meiborg_Debt_Schedule_202511.xlsx</t>
      </text>
    </comment>
    <comment ref="D221" authorId="0" shapeId="0">
      <text>
        <t>Sum of rows 201-220: Interest payments</t>
      </text>
    </comment>
    <comment ref="E221" authorId="0" shapeId="0">
      <text>
        <t>Sum of rows 201-220: Principal payments</t>
      </text>
    </comment>
    <comment ref="C224" authorId="0" shapeId="0">
      <text>
        <t>Source: Meiborg_Debt_Schedule_202511.xlsx
Extracted: 2025-11-30</t>
      </text>
    </comment>
    <comment ref="C225" authorId="0" shapeId="0">
      <text>
        <t>Source: Meiborg_Debt_Schedule_202511.xlsx
Extracted: 2025-11-30</t>
      </text>
    </comment>
    <comment ref="C226" authorId="0" shapeId="0">
      <text>
        <t>Source: Meiborg_Debt_Schedule_202511.xlsx
Extracted: 2025-11-30</t>
      </text>
    </comment>
    <comment ref="C227" authorId="0" shapeId="0">
      <text>
        <t>Source: Meiborg_Debt_Schedule_202511.xlsx
Extracted: 2025-11-30</t>
      </text>
    </comment>
    <comment ref="C228" authorId="0" shapeId="0">
      <text>
        <t>Source: Meiborg_Debt_Schedule_202511.xlsx
Extracted: 2025-11-30</t>
      </text>
    </comment>
    <comment ref="C229" authorId="0" shapeId="0">
      <text>
        <t>Source: Meiborg_Debt_Schedule_202511.xlsx
Extracted: 2025-11-30</t>
      </text>
    </comment>
    <comment ref="C230" authorId="0" shapeId="0">
      <text>
        <t>Source: Meiborg_Debt_Schedule_202511.xlsx
Extracted: 2025-11-30</t>
      </text>
    </comment>
    <comment ref="C231" authorId="0" shapeId="0">
      <text>
        <t>Source: Meiborg_Debt_Schedule_202511.xlsx
Extracted: 2025-11-30</t>
      </text>
    </comment>
    <comment ref="C232" authorId="0" shapeId="0">
      <text>
        <t>Driver: Standard amortizing equipment loan.
Derived from: Paccar Financial equipment financing.</t>
      </text>
    </comment>
    <comment ref="D236" authorId="0" shapeId="0">
      <text>
        <t>Loan: Paccar Financial, 1 T680 (Oct 2021). Source: Meiborg_Debt_Schedule_202511.xlsx</t>
      </text>
    </comment>
    <comment ref="D237" authorId="0" shapeId="0">
      <text>
        <t>Loan: Paccar Financial, 1 T680 (Oct 2021). Source: Meiborg_Debt_Schedule_202511.xlsx</t>
      </text>
    </comment>
    <comment ref="D238" authorId="0" shapeId="0">
      <text>
        <t>Loan: Paccar Financial, 1 T680 (Oct 2021). Source: Meiborg_Debt_Schedule_202511.xlsx</t>
      </text>
    </comment>
    <comment ref="D239" authorId="0" shapeId="0">
      <text>
        <t>Loan: Paccar Financial, 1 T680 (Oct 2021). Source: Meiborg_Debt_Schedule_202511.xlsx</t>
      </text>
    </comment>
    <comment ref="D240" authorId="0" shapeId="0">
      <text>
        <t>Loan: Paccar Financial, 1 T680 (Oct 2021). Source: Meiborg_Debt_Schedule_202511.xlsx</t>
      </text>
    </comment>
    <comment ref="D241" authorId="0" shapeId="0">
      <text>
        <t>Loan: Paccar Financial, 1 T680 (Oct 2021). Source: Meiborg_Debt_Schedule_202511.xlsx</t>
      </text>
    </comment>
    <comment ref="D242" authorId="0" shapeId="0">
      <text>
        <t>Loan: Paccar Financial, 1 T680 (Oct 2021). Source: Meiborg_Debt_Schedule_202511.xlsx</t>
      </text>
    </comment>
    <comment ref="D243" authorId="0" shapeId="0">
      <text>
        <t>Loan: Paccar Financial, 1 T680 (Oct 2021). Source: Meiborg_Debt_Schedule_202511.xlsx</t>
      </text>
    </comment>
    <comment ref="D244" authorId="0" shapeId="0">
      <text>
        <t>Loan: Paccar Financial, 1 T680 (Oct 2021). Source: Meiborg_Debt_Schedule_202511.xlsx</t>
      </text>
    </comment>
    <comment ref="D245" authorId="0" shapeId="0">
      <text>
        <t>Loan: Paccar Financial, 1 T680 (Oct 2021). Source: Meiborg_Debt_Schedule_202511.xlsx</t>
      </text>
    </comment>
    <comment ref="D246" authorId="0" shapeId="0">
      <text>
        <t>Loan: Paccar Financial, 1 T680 (Oct 2021). Source: Meiborg_Debt_Schedule_202511.xlsx</t>
      </text>
    </comment>
    <comment ref="D247" authorId="0" shapeId="0">
      <text>
        <t>Loan: Paccar Financial, 1 T680 (Oct 2021). Source: Meiborg_Debt_Schedule_202511.xlsx</t>
      </text>
    </comment>
    <comment ref="D248" authorId="0" shapeId="0">
      <text>
        <t>Loan: Paccar Financial, 1 T680 (Oct 2021). Source: Meiborg_Debt_Schedule_202511.xlsx</t>
      </text>
    </comment>
    <comment ref="D249" authorId="0" shapeId="0">
      <text>
        <t>Loan: Paccar Financial, 1 T680 (Oct 2021). Source: Meiborg_Debt_Schedule_202511.xlsx</t>
      </text>
    </comment>
    <comment ref="D250" authorId="0" shapeId="0">
      <text>
        <t>Loan: Paccar Financial, 1 T680 (Oct 2021). Source: Meiborg_Debt_Schedule_202511.xlsx</t>
      </text>
    </comment>
    <comment ref="D251" authorId="0" shapeId="0">
      <text>
        <t>Loan: Paccar Financial, 1 T680 (Oct 2021). Source: Meiborg_Debt_Schedule_202511.xlsx</t>
      </text>
    </comment>
    <comment ref="D252" authorId="0" shapeId="0">
      <text>
        <t>Loan: Paccar Financial, 1 T680 (Oct 2021). Source: Meiborg_Debt_Schedule_202511.xlsx</t>
      </text>
    </comment>
    <comment ref="D253" authorId="0" shapeId="0">
      <text>
        <t>Loan: Paccar Financial, 1 T680 (Oct 2021). Source: Meiborg_Debt_Schedule_202511.xlsx</t>
      </text>
    </comment>
    <comment ref="D254" authorId="0" shapeId="0">
      <text>
        <t>Loan: Paccar Financial, 1 T680 (Oct 2021). Source: Meiborg_Debt_Schedule_202511.xlsx</t>
      </text>
    </comment>
    <comment ref="D255" authorId="0" shapeId="0">
      <text>
        <t>Loan: Paccar Financial, 1 T680 (Oct 2021). Source: Meiborg_Debt_Schedule_202511.xlsx</t>
      </text>
    </comment>
    <comment ref="D256" authorId="0" shapeId="0">
      <text>
        <t>Loan: Paccar Financial, 1 T680 (Oct 2021). Source: Meiborg_Debt_Schedule_202511.xlsx</t>
      </text>
    </comment>
    <comment ref="D257" authorId="0" shapeId="0">
      <text>
        <t>Sum of rows 236-256: Interest payments</t>
      </text>
    </comment>
    <comment ref="E257" authorId="0" shapeId="0">
      <text>
        <t>Sum of rows 236-256: Principal payments</t>
      </text>
    </comment>
    <comment ref="C260" authorId="0" shapeId="0">
      <text>
        <t>Source: Meiborg_Debt_Schedule_202511.xlsx
Extracted: 2025-11-30</t>
      </text>
    </comment>
    <comment ref="C261" authorId="0" shapeId="0">
      <text>
        <t>Source: Meiborg_Debt_Schedule_202511.xlsx
Extracted: 2025-11-30</t>
      </text>
    </comment>
    <comment ref="C262" authorId="0" shapeId="0">
      <text>
        <t>Source: Meiborg_Debt_Schedule_202511.xlsx
Extracted: 2025-11-30</t>
      </text>
    </comment>
    <comment ref="C263" authorId="0" shapeId="0">
      <text>
        <t>Source: Meiborg_Debt_Schedule_202511.xlsx
Extracted: 2025-11-30</t>
      </text>
    </comment>
    <comment ref="C264" authorId="0" shapeId="0">
      <text>
        <t>Source: Meiborg_Debt_Schedule_202511.xlsx
Extracted: 2025-11-30</t>
      </text>
    </comment>
    <comment ref="C265" authorId="0" shapeId="0">
      <text>
        <t>Source: Meiborg_Debt_Schedule_202511.xlsx
Extracted: 2025-11-30</t>
      </text>
    </comment>
    <comment ref="C266" authorId="0" shapeId="0">
      <text>
        <t>Source: Meiborg_Debt_Schedule_202511.xlsx
Extracted: 2025-11-30</t>
      </text>
    </comment>
    <comment ref="C267" authorId="0" shapeId="0">
      <text>
        <t>Source: Meiborg_Debt_Schedule_202511.xlsx
Extracted: 2025-11-30</t>
      </text>
    </comment>
    <comment ref="C268" authorId="0" shapeId="0">
      <text>
        <t>Driver: Standard amortizing equipment loan.
Derived from: Paccar Financial equipment financing.</t>
      </text>
    </comment>
    <comment ref="D272" authorId="0" shapeId="0">
      <text>
        <t>Loan: Paccar Financial, 1 T680 (Nov 2021). Source: Meiborg_Debt_Schedule_202511.xlsx</t>
      </text>
    </comment>
    <comment ref="D273" authorId="0" shapeId="0">
      <text>
        <t>Loan: Paccar Financial, 1 T680 (Nov 2021). Source: Meiborg_Debt_Schedule_202511.xlsx</t>
      </text>
    </comment>
    <comment ref="D274" authorId="0" shapeId="0">
      <text>
        <t>Loan: Paccar Financial, 1 T680 (Nov 2021). Source: Meiborg_Debt_Schedule_202511.xlsx</t>
      </text>
    </comment>
    <comment ref="D275" authorId="0" shapeId="0">
      <text>
        <t>Loan: Paccar Financial, 1 T680 (Nov 2021). Source: Meiborg_Debt_Schedule_202511.xlsx</t>
      </text>
    </comment>
    <comment ref="D276" authorId="0" shapeId="0">
      <text>
        <t>Loan: Paccar Financial, 1 T680 (Nov 2021). Source: Meiborg_Debt_Schedule_202511.xlsx</t>
      </text>
    </comment>
    <comment ref="D277" authorId="0" shapeId="0">
      <text>
        <t>Loan: Paccar Financial, 1 T680 (Nov 2021). Source: Meiborg_Debt_Schedule_202511.xlsx</t>
      </text>
    </comment>
    <comment ref="D278" authorId="0" shapeId="0">
      <text>
        <t>Loan: Paccar Financial, 1 T680 (Nov 2021). Source: Meiborg_Debt_Schedule_202511.xlsx</t>
      </text>
    </comment>
    <comment ref="D279" authorId="0" shapeId="0">
      <text>
        <t>Loan: Paccar Financial, 1 T680 (Nov 2021). Source: Meiborg_Debt_Schedule_202511.xlsx</t>
      </text>
    </comment>
    <comment ref="D280" authorId="0" shapeId="0">
      <text>
        <t>Loan: Paccar Financial, 1 T680 (Nov 2021). Source: Meiborg_Debt_Schedule_202511.xlsx</t>
      </text>
    </comment>
    <comment ref="D281" authorId="0" shapeId="0">
      <text>
        <t>Loan: Paccar Financial, 1 T680 (Nov 2021). Source: Meiborg_Debt_Schedule_202511.xlsx</t>
      </text>
    </comment>
    <comment ref="D282" authorId="0" shapeId="0">
      <text>
        <t>Loan: Paccar Financial, 1 T680 (Nov 2021). Source: Meiborg_Debt_Schedule_202511.xlsx</t>
      </text>
    </comment>
    <comment ref="D283" authorId="0" shapeId="0">
      <text>
        <t>Loan: Paccar Financial, 1 T680 (Nov 2021). Source: Meiborg_Debt_Schedule_202511.xlsx</t>
      </text>
    </comment>
    <comment ref="D284" authorId="0" shapeId="0">
      <text>
        <t>Loan: Paccar Financial, 1 T680 (Nov 2021). Source: Meiborg_Debt_Schedule_202511.xlsx</t>
      </text>
    </comment>
    <comment ref="D285" authorId="0" shapeId="0">
      <text>
        <t>Loan: Paccar Financial, 1 T680 (Nov 2021). Source: Meiborg_Debt_Schedule_202511.xlsx</t>
      </text>
    </comment>
    <comment ref="D286" authorId="0" shapeId="0">
      <text>
        <t>Loan: Paccar Financial, 1 T680 (Nov 2021). Source: Meiborg_Debt_Schedule_202511.xlsx</t>
      </text>
    </comment>
    <comment ref="D287" authorId="0" shapeId="0">
      <text>
        <t>Loan: Paccar Financial, 1 T680 (Nov 2021). Source: Meiborg_Debt_Schedule_202511.xlsx</t>
      </text>
    </comment>
    <comment ref="D288" authorId="0" shapeId="0">
      <text>
        <t>Loan: Paccar Financial, 1 T680 (Nov 2021). Source: Meiborg_Debt_Schedule_202511.xlsx</t>
      </text>
    </comment>
    <comment ref="D289" authorId="0" shapeId="0">
      <text>
        <t>Loan: Paccar Financial, 1 T680 (Nov 2021). Source: Meiborg_Debt_Schedule_202511.xlsx</t>
      </text>
    </comment>
    <comment ref="D290" authorId="0" shapeId="0">
      <text>
        <t>Loan: Paccar Financial, 1 T680 (Nov 2021). Source: Meiborg_Debt_Schedule_202511.xlsx</t>
      </text>
    </comment>
    <comment ref="D291" authorId="0" shapeId="0">
      <text>
        <t>Loan: Paccar Financial, 1 T680 (Nov 2021). Source: Meiborg_Debt_Schedule_202511.xlsx</t>
      </text>
    </comment>
    <comment ref="D292" authorId="0" shapeId="0">
      <text>
        <t>Loan: Paccar Financial, 1 T680 (Nov 2021). Source: Meiborg_Debt_Schedule_202511.xlsx</t>
      </text>
    </comment>
    <comment ref="D293" authorId="0" shapeId="0">
      <text>
        <t>Loan: Paccar Financial, 1 T680 (Nov 2021). Source: Meiborg_Debt_Schedule_202511.xlsx</t>
      </text>
    </comment>
    <comment ref="D294" authorId="0" shapeId="0">
      <text>
        <t>Sum of rows 272-293: Interest payments</t>
      </text>
    </comment>
    <comment ref="E294" authorId="0" shapeId="0">
      <text>
        <t>Sum of rows 272-293: Principal payments</t>
      </text>
    </comment>
    <comment ref="C297" authorId="0" shapeId="0">
      <text>
        <t>Source: Meiborg_Debt_Schedule_202511.xlsx
Extracted: 2025-11-30</t>
      </text>
    </comment>
    <comment ref="C298" authorId="0" shapeId="0">
      <text>
        <t>Source: Meiborg_Debt_Schedule_202511.xlsx
Extracted: 2025-11-30</t>
      </text>
    </comment>
    <comment ref="C299" authorId="0" shapeId="0">
      <text>
        <t>Source: Meiborg_Debt_Schedule_202511.xlsx
Extracted: 2025-11-30</t>
      </text>
    </comment>
    <comment ref="C300" authorId="0" shapeId="0">
      <text>
        <t>Source: Meiborg_Debt_Schedule_202511.xlsx
Extracted: 2025-11-30</t>
      </text>
    </comment>
    <comment ref="C301" authorId="0" shapeId="0">
      <text>
        <t>Source: Meiborg_Debt_Schedule_202511.xlsx
Extracted: 2025-11-30</t>
      </text>
    </comment>
    <comment ref="C302" authorId="0" shapeId="0">
      <text>
        <t>Source: Meiborg_Debt_Schedule_202511.xlsx
Extracted: 2025-11-30</t>
      </text>
    </comment>
    <comment ref="C303" authorId="0" shapeId="0">
      <text>
        <t>Source: Meiborg_Debt_Schedule_202511.xlsx
Extracted: 2025-11-30</t>
      </text>
    </comment>
    <comment ref="C304" authorId="0" shapeId="0">
      <text>
        <t>Source: Meiborg_Debt_Schedule_202511.xlsx
Extracted: 2025-11-30</t>
      </text>
    </comment>
    <comment ref="C305" authorId="0" shapeId="0">
      <text>
        <t>Driver: Standard amortizing equipment loan.
Derived from: Paccar Financial equipment financing.</t>
      </text>
    </comment>
    <comment ref="D309" authorId="0" shapeId="0">
      <text>
        <t>Loan: Paccar Financial, 2 T680 (Dec 2021). Source: Meiborg_Debt_Schedule_202511.xlsx</t>
      </text>
    </comment>
    <comment ref="D310" authorId="0" shapeId="0">
      <text>
        <t>Loan: Paccar Financial, 2 T680 (Dec 2021). Source: Meiborg_Debt_Schedule_202511.xlsx</t>
      </text>
    </comment>
    <comment ref="D311" authorId="0" shapeId="0">
      <text>
        <t>Loan: Paccar Financial, 2 T680 (Dec 2021). Source: Meiborg_Debt_Schedule_202511.xlsx</t>
      </text>
    </comment>
    <comment ref="D312" authorId="0" shapeId="0">
      <text>
        <t>Loan: Paccar Financial, 2 T680 (Dec 2021). Source: Meiborg_Debt_Schedule_202511.xlsx</t>
      </text>
    </comment>
    <comment ref="D313" authorId="0" shapeId="0">
      <text>
        <t>Loan: Paccar Financial, 2 T680 (Dec 2021). Source: Meiborg_Debt_Schedule_202511.xlsx</t>
      </text>
    </comment>
    <comment ref="D314" authorId="0" shapeId="0">
      <text>
        <t>Loan: Paccar Financial, 2 T680 (Dec 2021). Source: Meiborg_Debt_Schedule_202511.xlsx</t>
      </text>
    </comment>
    <comment ref="D315" authorId="0" shapeId="0">
      <text>
        <t>Loan: Paccar Financial, 2 T680 (Dec 2021). Source: Meiborg_Debt_Schedule_202511.xlsx</t>
      </text>
    </comment>
    <comment ref="D316" authorId="0" shapeId="0">
      <text>
        <t>Loan: Paccar Financial, 2 T680 (Dec 2021). Source: Meiborg_Debt_Schedule_202511.xlsx</t>
      </text>
    </comment>
    <comment ref="D317" authorId="0" shapeId="0">
      <text>
        <t>Loan: Paccar Financial, 2 T680 (Dec 2021). Source: Meiborg_Debt_Schedule_202511.xlsx</t>
      </text>
    </comment>
    <comment ref="D318" authorId="0" shapeId="0">
      <text>
        <t>Loan: Paccar Financial, 2 T680 (Dec 2021). Source: Meiborg_Debt_Schedule_202511.xlsx</t>
      </text>
    </comment>
    <comment ref="D319" authorId="0" shapeId="0">
      <text>
        <t>Loan: Paccar Financial, 2 T680 (Dec 2021). Source: Meiborg_Debt_Schedule_202511.xlsx</t>
      </text>
    </comment>
    <comment ref="D320" authorId="0" shapeId="0">
      <text>
        <t>Loan: Paccar Financial, 2 T680 (Dec 2021). Source: Meiborg_Debt_Schedule_202511.xlsx</t>
      </text>
    </comment>
    <comment ref="D321" authorId="0" shapeId="0">
      <text>
        <t>Loan: Paccar Financial, 2 T680 (Dec 2021). Source: Meiborg_Debt_Schedule_202511.xlsx</t>
      </text>
    </comment>
    <comment ref="D322" authorId="0" shapeId="0">
      <text>
        <t>Loan: Paccar Financial, 2 T680 (Dec 2021). Source: Meiborg_Debt_Schedule_202511.xlsx</t>
      </text>
    </comment>
    <comment ref="D323" authorId="0" shapeId="0">
      <text>
        <t>Loan: Paccar Financial, 2 T680 (Dec 2021). Source: Meiborg_Debt_Schedule_202511.xlsx</t>
      </text>
    </comment>
    <comment ref="D324" authorId="0" shapeId="0">
      <text>
        <t>Loan: Paccar Financial, 2 T680 (Dec 2021). Source: Meiborg_Debt_Schedule_202511.xlsx</t>
      </text>
    </comment>
    <comment ref="D325" authorId="0" shapeId="0">
      <text>
        <t>Loan: Paccar Financial, 2 T680 (Dec 2021). Source: Meiborg_Debt_Schedule_202511.xlsx</t>
      </text>
    </comment>
    <comment ref="D326" authorId="0" shapeId="0">
      <text>
        <t>Loan: Paccar Financial, 2 T680 (Dec 2021). Source: Meiborg_Debt_Schedule_202511.xlsx</t>
      </text>
    </comment>
    <comment ref="D327" authorId="0" shapeId="0">
      <text>
        <t>Loan: Paccar Financial, 2 T680 (Dec 2021). Source: Meiborg_Debt_Schedule_202511.xlsx</t>
      </text>
    </comment>
    <comment ref="D328" authorId="0" shapeId="0">
      <text>
        <t>Loan: Paccar Financial, 2 T680 (Dec 2021). Source: Meiborg_Debt_Schedule_202511.xlsx</t>
      </text>
    </comment>
    <comment ref="D329" authorId="0" shapeId="0">
      <text>
        <t>Loan: Paccar Financial, 2 T680 (Dec 2021). Source: Meiborg_Debt_Schedule_202511.xlsx</t>
      </text>
    </comment>
    <comment ref="D330" authorId="0" shapeId="0">
      <text>
        <t>Loan: Paccar Financial, 2 T680 (Dec 2021). Source: Meiborg_Debt_Schedule_202511.xlsx</t>
      </text>
    </comment>
    <comment ref="D331" authorId="0" shapeId="0">
      <text>
        <t>Sum of rows 309-330: Interest payments</t>
      </text>
    </comment>
    <comment ref="E331" authorId="0" shapeId="0">
      <text>
        <t>Sum of rows 309-330: Principal payments</t>
      </text>
    </comment>
    <comment ref="C334" authorId="0" shapeId="0">
      <text>
        <t>Source: Meiborg_Debt_Schedule_202511.xlsx
Extracted: 2025-11-30</t>
      </text>
    </comment>
    <comment ref="C335" authorId="0" shapeId="0">
      <text>
        <t>Source: Meiborg_Debt_Schedule_202511.xlsx
Extracted: 2025-11-30</t>
      </text>
    </comment>
    <comment ref="C336" authorId="0" shapeId="0">
      <text>
        <t>Source: Meiborg_Debt_Schedule_202511.xlsx
Extracted: 2025-11-30</t>
      </text>
    </comment>
    <comment ref="C337" authorId="0" shapeId="0">
      <text>
        <t>Source: Meiborg_Debt_Schedule_202511.xlsx
Extracted: 2025-11-30</t>
      </text>
    </comment>
    <comment ref="C338" authorId="0" shapeId="0">
      <text>
        <t>Source: Meiborg_Debt_Schedule_202511.xlsx
Extracted: 2025-11-30</t>
      </text>
    </comment>
    <comment ref="C339" authorId="0" shapeId="0">
      <text>
        <t>Source: Meiborg_Debt_Schedule_202511.xlsx
Extracted: 2025-11-30</t>
      </text>
    </comment>
    <comment ref="C340" authorId="0" shapeId="0">
      <text>
        <t>Source: Meiborg_Debt_Schedule_202511.xlsx
Extracted: 2025-11-30</t>
      </text>
    </comment>
    <comment ref="C341" authorId="0" shapeId="0">
      <text>
        <t>Source: Meiborg_Debt_Schedule_202511.xlsx
Extracted: 2025-11-30</t>
      </text>
    </comment>
    <comment ref="C342" authorId="0" shapeId="0">
      <text>
        <t>Driver: Standard amortizing equipment loan.
Derived from: Paccar Financial equipment financing.</t>
      </text>
    </comment>
    <comment ref="D346" authorId="0" shapeId="0">
      <text>
        <t>Loan: Paccar Financial, 1 T680 (Dec 2021). Source: Meiborg_Debt_Schedule_202511.xlsx</t>
      </text>
    </comment>
    <comment ref="D347" authorId="0" shapeId="0">
      <text>
        <t>Loan: Paccar Financial, 1 T680 (Dec 2021). Source: Meiborg_Debt_Schedule_202511.xlsx</t>
      </text>
    </comment>
    <comment ref="D348" authorId="0" shapeId="0">
      <text>
        <t>Loan: Paccar Financial, 1 T680 (Dec 2021). Source: Meiborg_Debt_Schedule_202511.xlsx</t>
      </text>
    </comment>
    <comment ref="D349" authorId="0" shapeId="0">
      <text>
        <t>Loan: Paccar Financial, 1 T680 (Dec 2021). Source: Meiborg_Debt_Schedule_202511.xlsx</t>
      </text>
    </comment>
    <comment ref="D350" authorId="0" shapeId="0">
      <text>
        <t>Loan: Paccar Financial, 1 T680 (Dec 2021). Source: Meiborg_Debt_Schedule_202511.xlsx</t>
      </text>
    </comment>
    <comment ref="D351" authorId="0" shapeId="0">
      <text>
        <t>Loan: Paccar Financial, 1 T680 (Dec 2021). Source: Meiborg_Debt_Schedule_202511.xlsx</t>
      </text>
    </comment>
    <comment ref="D352" authorId="0" shapeId="0">
      <text>
        <t>Loan: Paccar Financial, 1 T680 (Dec 2021). Source: Meiborg_Debt_Schedule_202511.xlsx</t>
      </text>
    </comment>
    <comment ref="D353" authorId="0" shapeId="0">
      <text>
        <t>Loan: Paccar Financial, 1 T680 (Dec 2021). Source: Meiborg_Debt_Schedule_202511.xlsx</t>
      </text>
    </comment>
    <comment ref="D354" authorId="0" shapeId="0">
      <text>
        <t>Loan: Paccar Financial, 1 T680 (Dec 2021). Source: Meiborg_Debt_Schedule_202511.xlsx</t>
      </text>
    </comment>
    <comment ref="D355" authorId="0" shapeId="0">
      <text>
        <t>Loan: Paccar Financial, 1 T680 (Dec 2021). Source: Meiborg_Debt_Schedule_202511.xlsx</t>
      </text>
    </comment>
    <comment ref="D356" authorId="0" shapeId="0">
      <text>
        <t>Loan: Paccar Financial, 1 T680 (Dec 2021). Source: Meiborg_Debt_Schedule_202511.xlsx</t>
      </text>
    </comment>
    <comment ref="D357" authorId="0" shapeId="0">
      <text>
        <t>Loan: Paccar Financial, 1 T680 (Dec 2021). Source: Meiborg_Debt_Schedule_202511.xlsx</t>
      </text>
    </comment>
    <comment ref="D358" authorId="0" shapeId="0">
      <text>
        <t>Loan: Paccar Financial, 1 T680 (Dec 2021). Source: Meiborg_Debt_Schedule_202511.xlsx</t>
      </text>
    </comment>
    <comment ref="D359" authorId="0" shapeId="0">
      <text>
        <t>Loan: Paccar Financial, 1 T680 (Dec 2021). Source: Meiborg_Debt_Schedule_202511.xlsx</t>
      </text>
    </comment>
    <comment ref="D360" authorId="0" shapeId="0">
      <text>
        <t>Loan: Paccar Financial, 1 T680 (Dec 2021). Source: Meiborg_Debt_Schedule_202511.xlsx</t>
      </text>
    </comment>
    <comment ref="D361" authorId="0" shapeId="0">
      <text>
        <t>Loan: Paccar Financial, 1 T680 (Dec 2021). Source: Meiborg_Debt_Schedule_202511.xlsx</t>
      </text>
    </comment>
    <comment ref="D362" authorId="0" shapeId="0">
      <text>
        <t>Loan: Paccar Financial, 1 T680 (Dec 2021). Source: Meiborg_Debt_Schedule_202511.xlsx</t>
      </text>
    </comment>
    <comment ref="D363" authorId="0" shapeId="0">
      <text>
        <t>Loan: Paccar Financial, 1 T680 (Dec 2021). Source: Meiborg_Debt_Schedule_202511.xlsx</t>
      </text>
    </comment>
    <comment ref="D364" authorId="0" shapeId="0">
      <text>
        <t>Loan: Paccar Financial, 1 T680 (Dec 2021). Source: Meiborg_Debt_Schedule_202511.xlsx</t>
      </text>
    </comment>
    <comment ref="D365" authorId="0" shapeId="0">
      <text>
        <t>Loan: Paccar Financial, 1 T680 (Dec 2021). Source: Meiborg_Debt_Schedule_202511.xlsx</t>
      </text>
    </comment>
    <comment ref="D366" authorId="0" shapeId="0">
      <text>
        <t>Loan: Paccar Financial, 1 T680 (Dec 2021). Source: Meiborg_Debt_Schedule_202511.xlsx</t>
      </text>
    </comment>
    <comment ref="D367" authorId="0" shapeId="0">
      <text>
        <t>Loan: Paccar Financial, 1 T680 (Dec 2021). Source: Meiborg_Debt_Schedule_202511.xlsx</t>
      </text>
    </comment>
    <comment ref="D368" authorId="0" shapeId="0">
      <text>
        <t>Loan: Paccar Financial, 1 T680 (Dec 2021). Source: Meiborg_Debt_Schedule_202511.xlsx</t>
      </text>
    </comment>
    <comment ref="D369" authorId="0" shapeId="0">
      <text>
        <t>Sum of rows 346-368: Interest payments</t>
      </text>
    </comment>
    <comment ref="E369" authorId="0" shapeId="0">
      <text>
        <t>Sum of rows 346-368: Principal payments</t>
      </text>
    </comment>
    <comment ref="C372" authorId="0" shapeId="0">
      <text>
        <t>Source: Meiborg_Debt_Schedule_202511.xlsx
Extracted: 2025-11-30</t>
      </text>
    </comment>
    <comment ref="C373" authorId="0" shapeId="0">
      <text>
        <t>Source: Meiborg_Debt_Schedule_202511.xlsx
Extracted: 2025-11-30</t>
      </text>
    </comment>
    <comment ref="C374" authorId="0" shapeId="0">
      <text>
        <t>Source: Meiborg_Debt_Schedule_202511.xlsx
Extracted: 2025-11-30</t>
      </text>
    </comment>
    <comment ref="C375" authorId="0" shapeId="0">
      <text>
        <t>Source: Meiborg_Debt_Schedule_202511.xlsx
Extracted: 2025-11-30</t>
      </text>
    </comment>
    <comment ref="C376" authorId="0" shapeId="0">
      <text>
        <t>Source: Meiborg_Debt_Schedule_202511.xlsx
Extracted: 2025-11-30</t>
      </text>
    </comment>
    <comment ref="C377" authorId="0" shapeId="0">
      <text>
        <t>Source: Meiborg_Debt_Schedule_202511.xlsx
Extracted: 2025-11-30</t>
      </text>
    </comment>
    <comment ref="C378" authorId="0" shapeId="0">
      <text>
        <t>Source: Meiborg_Debt_Schedule_202511.xlsx
Extracted: 2025-11-30</t>
      </text>
    </comment>
    <comment ref="C379" authorId="0" shapeId="0">
      <text>
        <t>Source: Meiborg_Debt_Schedule_202511.xlsx
Extracted: 2025-11-30</t>
      </text>
    </comment>
    <comment ref="C380" authorId="0" shapeId="0">
      <text>
        <t>Driver: Standard amortizing equipment loan.
Derived from: Paccar Financial equipment financing.</t>
      </text>
    </comment>
    <comment ref="D384" authorId="0" shapeId="0">
      <text>
        <t>Loan: Paccar Financial, 5 T680 (Sept 2022). Source: Meiborg_Debt_Schedule_202511.xlsx</t>
      </text>
    </comment>
    <comment ref="D385" authorId="0" shapeId="0">
      <text>
        <t>Loan: Paccar Financial, 5 T680 (Sept 2022). Source: Meiborg_Debt_Schedule_202511.xlsx</t>
      </text>
    </comment>
    <comment ref="D386" authorId="0" shapeId="0">
      <text>
        <t>Loan: Paccar Financial, 5 T680 (Sept 2022). Source: Meiborg_Debt_Schedule_202511.xlsx</t>
      </text>
    </comment>
    <comment ref="D387" authorId="0" shapeId="0">
      <text>
        <t>Loan: Paccar Financial, 5 T680 (Sept 2022). Source: Meiborg_Debt_Schedule_202511.xlsx</t>
      </text>
    </comment>
    <comment ref="D388" authorId="0" shapeId="0">
      <text>
        <t>Loan: Paccar Financial, 5 T680 (Sept 2022). Source: Meiborg_Debt_Schedule_202511.xlsx</t>
      </text>
    </comment>
    <comment ref="D389" authorId="0" shapeId="0">
      <text>
        <t>Loan: Paccar Financial, 5 T680 (Sept 2022). Source: Meiborg_Debt_Schedule_202511.xlsx</t>
      </text>
    </comment>
    <comment ref="D390" authorId="0" shapeId="0">
      <text>
        <t>Loan: Paccar Financial, 5 T680 (Sept 2022). Source: Meiborg_Debt_Schedule_202511.xlsx</t>
      </text>
    </comment>
    <comment ref="D391" authorId="0" shapeId="0">
      <text>
        <t>Loan: Paccar Financial, 5 T680 (Sept 2022). Source: Meiborg_Debt_Schedule_202511.xlsx</t>
      </text>
    </comment>
    <comment ref="D392" authorId="0" shapeId="0">
      <text>
        <t>Loan: Paccar Financial, 5 T680 (Sept 2022). Source: Meiborg_Debt_Schedule_202511.xlsx</t>
      </text>
    </comment>
    <comment ref="D393" authorId="0" shapeId="0">
      <text>
        <t>Loan: Paccar Financial, 5 T680 (Sept 2022). Source: Meiborg_Debt_Schedule_202511.xlsx</t>
      </text>
    </comment>
    <comment ref="D394" authorId="0" shapeId="0">
      <text>
        <t>Loan: Paccar Financial, 5 T680 (Sept 2022). Source: Meiborg_Debt_Schedule_202511.xlsx</t>
      </text>
    </comment>
    <comment ref="D395" authorId="0" shapeId="0">
      <text>
        <t>Loan: Paccar Financial, 5 T680 (Sept 2022). Source: Meiborg_Debt_Schedule_202511.xlsx</t>
      </text>
    </comment>
    <comment ref="D396" authorId="0" shapeId="0">
      <text>
        <t>Loan: Paccar Financial, 5 T680 (Sept 2022). Source: Meiborg_Debt_Schedule_202511.xlsx</t>
      </text>
    </comment>
    <comment ref="D397" authorId="0" shapeId="0">
      <text>
        <t>Loan: Paccar Financial, 5 T680 (Sept 2022). Source: Meiborg_Debt_Schedule_202511.xlsx</t>
      </text>
    </comment>
    <comment ref="D398" authorId="0" shapeId="0">
      <text>
        <t>Loan: Paccar Financial, 5 T680 (Sept 2022). Source: Meiborg_Debt_Schedule_202511.xlsx</t>
      </text>
    </comment>
    <comment ref="D399" authorId="0" shapeId="0">
      <text>
        <t>Loan: Paccar Financial, 5 T680 (Sept 2022). Source: Meiborg_Debt_Schedule_202511.xlsx</t>
      </text>
    </comment>
    <comment ref="D400" authorId="0" shapeId="0">
      <text>
        <t>Loan: Paccar Financial, 5 T680 (Sept 2022). Source: Meiborg_Debt_Schedule_202511.xlsx</t>
      </text>
    </comment>
    <comment ref="D401" authorId="0" shapeId="0">
      <text>
        <t>Loan: Paccar Financial, 5 T680 (Sept 2022). Source: Meiborg_Debt_Schedule_202511.xlsx</t>
      </text>
    </comment>
    <comment ref="D402" authorId="0" shapeId="0">
      <text>
        <t>Loan: Paccar Financial, 5 T680 (Sept 2022). Source: Meiborg_Debt_Schedule_202511.xlsx</t>
      </text>
    </comment>
    <comment ref="D403" authorId="0" shapeId="0">
      <text>
        <t>Loan: Paccar Financial, 5 T680 (Sept 2022). Source: Meiborg_Debt_Schedule_202511.xlsx</t>
      </text>
    </comment>
    <comment ref="D404" authorId="0" shapeId="0">
      <text>
        <t>Loan: Paccar Financial, 5 T680 (Sept 2022). Source: Meiborg_Debt_Schedule_202511.xlsx</t>
      </text>
    </comment>
    <comment ref="D405" authorId="0" shapeId="0">
      <text>
        <t>Loan: Paccar Financial, 5 T680 (Sept 2022). Source: Meiborg_Debt_Schedule_202511.xlsx</t>
      </text>
    </comment>
    <comment ref="D406" authorId="0" shapeId="0">
      <text>
        <t>Loan: Paccar Financial, 5 T680 (Sept 2022). Source: Meiborg_Debt_Schedule_202511.xlsx</t>
      </text>
    </comment>
    <comment ref="D407" authorId="0" shapeId="0">
      <text>
        <t>Loan: Paccar Financial, 5 T680 (Sept 2022). Source: Meiborg_Debt_Schedule_202511.xlsx</t>
      </text>
    </comment>
    <comment ref="D408" authorId="0" shapeId="0">
      <text>
        <t>Loan: Paccar Financial, 5 T680 (Sept 2022). Source: Meiborg_Debt_Schedule_202511.xlsx</t>
      </text>
    </comment>
    <comment ref="D409" authorId="0" shapeId="0">
      <text>
        <t>Loan: Paccar Financial, 5 T680 (Sept 2022). Source: Meiborg_Debt_Schedule_202511.xlsx</t>
      </text>
    </comment>
    <comment ref="D410" authorId="0" shapeId="0">
      <text>
        <t>Loan: Paccar Financial, 5 T680 (Sept 2022). Source: Meiborg_Debt_Schedule_202511.xlsx</t>
      </text>
    </comment>
    <comment ref="D411" authorId="0" shapeId="0">
      <text>
        <t>Loan: Paccar Financial, 5 T680 (Sept 2022). Source: Meiborg_Debt_Schedule_202511.xlsx</t>
      </text>
    </comment>
    <comment ref="D412" authorId="0" shapeId="0">
      <text>
        <t>Loan: Paccar Financial, 5 T680 (Sept 2022). Source: Meiborg_Debt_Schedule_202511.xlsx</t>
      </text>
    </comment>
    <comment ref="D413" authorId="0" shapeId="0">
      <text>
        <t>Loan: Paccar Financial, 5 T680 (Sept 2022). Source: Meiborg_Debt_Schedule_202511.xlsx</t>
      </text>
    </comment>
    <comment ref="D414" authorId="0" shapeId="0">
      <text>
        <t>Loan: Paccar Financial, 5 T680 (Sept 2022). Source: Meiborg_Debt_Schedule_202511.xlsx</t>
      </text>
    </comment>
    <comment ref="D415" authorId="0" shapeId="0">
      <text>
        <t>Loan: Paccar Financial, 5 T680 (Sept 2022). Source: Meiborg_Debt_Schedule_202511.xlsx</t>
      </text>
    </comment>
    <comment ref="D416" authorId="0" shapeId="0">
      <text>
        <t>Sum of rows 384-415: Interest payments</t>
      </text>
    </comment>
    <comment ref="E416" authorId="0" shapeId="0">
      <text>
        <t>Sum of rows 384-415: Principal payments</t>
      </text>
    </comment>
    <comment ref="C419" authorId="0" shapeId="0">
      <text>
        <t>Source: Meiborg_Debt_Schedule_202511.xlsx
Extracted: 2025-11-30</t>
      </text>
    </comment>
    <comment ref="C420" authorId="0" shapeId="0">
      <text>
        <t>Source: Meiborg_Debt_Schedule_202511.xlsx
Extracted: 2025-11-30</t>
      </text>
    </comment>
    <comment ref="C421" authorId="0" shapeId="0">
      <text>
        <t>Source: Meiborg_Debt_Schedule_202511.xlsx
Extracted: 2025-11-30</t>
      </text>
    </comment>
    <comment ref="C422" authorId="0" shapeId="0">
      <text>
        <t>Source: Meiborg_Debt_Schedule_202511.xlsx
Extracted: 2025-11-30</t>
      </text>
    </comment>
    <comment ref="C423" authorId="0" shapeId="0">
      <text>
        <t>Source: Meiborg_Debt_Schedule_202511.xlsx
Extracted: 2025-11-30</t>
      </text>
    </comment>
    <comment ref="C424" authorId="0" shapeId="0">
      <text>
        <t>Source: Meiborg_Debt_Schedule_202511.xlsx
Extracted: 2025-11-30</t>
      </text>
    </comment>
    <comment ref="C425" authorId="0" shapeId="0">
      <text>
        <t>Source: Meiborg_Debt_Schedule_202511.xlsx
Extracted: 2025-11-30</t>
      </text>
    </comment>
    <comment ref="C426" authorId="0" shapeId="0">
      <text>
        <t>Source: Meiborg_Debt_Schedule_202511.xlsx
Extracted: 2025-11-30</t>
      </text>
    </comment>
    <comment ref="C427" authorId="0" shapeId="0">
      <text>
        <t>Driver: Standard amortizing equipment loan.
Derived from: Paccar Financial equipment financing.</t>
      </text>
    </comment>
    <comment ref="D431" authorId="0" shapeId="0">
      <text>
        <t>Loan: Paccar Financial, 3 T680 (Oct 2022). Source: Meiborg_Debt_Schedule_202511.xlsx</t>
      </text>
    </comment>
    <comment ref="D432" authorId="0" shapeId="0">
      <text>
        <t>Loan: Paccar Financial, 3 T680 (Oct 2022). Source: Meiborg_Debt_Schedule_202511.xlsx</t>
      </text>
    </comment>
    <comment ref="D433" authorId="0" shapeId="0">
      <text>
        <t>Loan: Paccar Financial, 3 T680 (Oct 2022). Source: Meiborg_Debt_Schedule_202511.xlsx</t>
      </text>
    </comment>
    <comment ref="D434" authorId="0" shapeId="0">
      <text>
        <t>Loan: Paccar Financial, 3 T680 (Oct 2022). Source: Meiborg_Debt_Schedule_202511.xlsx</t>
      </text>
    </comment>
    <comment ref="D435" authorId="0" shapeId="0">
      <text>
        <t>Loan: Paccar Financial, 3 T680 (Oct 2022). Source: Meiborg_Debt_Schedule_202511.xlsx</t>
      </text>
    </comment>
    <comment ref="D436" authorId="0" shapeId="0">
      <text>
        <t>Loan: Paccar Financial, 3 T680 (Oct 2022). Source: Meiborg_Debt_Schedule_202511.xlsx</t>
      </text>
    </comment>
    <comment ref="D437" authorId="0" shapeId="0">
      <text>
        <t>Loan: Paccar Financial, 3 T680 (Oct 2022). Source: Meiborg_Debt_Schedule_202511.xlsx</t>
      </text>
    </comment>
    <comment ref="D438" authorId="0" shapeId="0">
      <text>
        <t>Loan: Paccar Financial, 3 T680 (Oct 2022). Source: Meiborg_Debt_Schedule_202511.xlsx</t>
      </text>
    </comment>
    <comment ref="D439" authorId="0" shapeId="0">
      <text>
        <t>Loan: Paccar Financial, 3 T680 (Oct 2022). Source: Meiborg_Debt_Schedule_202511.xlsx</t>
      </text>
    </comment>
    <comment ref="D440" authorId="0" shapeId="0">
      <text>
        <t>Loan: Paccar Financial, 3 T680 (Oct 2022). Source: Meiborg_Debt_Schedule_202511.xlsx</t>
      </text>
    </comment>
    <comment ref="D441" authorId="0" shapeId="0">
      <text>
        <t>Loan: Paccar Financial, 3 T680 (Oct 2022). Source: Meiborg_Debt_Schedule_202511.xlsx</t>
      </text>
    </comment>
    <comment ref="D442" authorId="0" shapeId="0">
      <text>
        <t>Loan: Paccar Financial, 3 T680 (Oct 2022). Source: Meiborg_Debt_Schedule_202511.xlsx</t>
      </text>
    </comment>
    <comment ref="D443" authorId="0" shapeId="0">
      <text>
        <t>Loan: Paccar Financial, 3 T680 (Oct 2022). Source: Meiborg_Debt_Schedule_202511.xlsx</t>
      </text>
    </comment>
    <comment ref="D444" authorId="0" shapeId="0">
      <text>
        <t>Loan: Paccar Financial, 3 T680 (Oct 2022). Source: Meiborg_Debt_Schedule_202511.xlsx</t>
      </text>
    </comment>
    <comment ref="D445" authorId="0" shapeId="0">
      <text>
        <t>Loan: Paccar Financial, 3 T680 (Oct 2022). Source: Meiborg_Debt_Schedule_202511.xlsx</t>
      </text>
    </comment>
    <comment ref="D446" authorId="0" shapeId="0">
      <text>
        <t>Loan: Paccar Financial, 3 T680 (Oct 2022). Source: Meiborg_Debt_Schedule_202511.xlsx</t>
      </text>
    </comment>
    <comment ref="D447" authorId="0" shapeId="0">
      <text>
        <t>Loan: Paccar Financial, 3 T680 (Oct 2022). Source: Meiborg_Debt_Schedule_202511.xlsx</t>
      </text>
    </comment>
    <comment ref="D448" authorId="0" shapeId="0">
      <text>
        <t>Loan: Paccar Financial, 3 T680 (Oct 2022). Source: Meiborg_Debt_Schedule_202511.xlsx</t>
      </text>
    </comment>
    <comment ref="D449" authorId="0" shapeId="0">
      <text>
        <t>Loan: Paccar Financial, 3 T680 (Oct 2022). Source: Meiborg_Debt_Schedule_202511.xlsx</t>
      </text>
    </comment>
    <comment ref="D450" authorId="0" shapeId="0">
      <text>
        <t>Loan: Paccar Financial, 3 T680 (Oct 2022). Source: Meiborg_Debt_Schedule_202511.xlsx</t>
      </text>
    </comment>
    <comment ref="D451" authorId="0" shapeId="0">
      <text>
        <t>Loan: Paccar Financial, 3 T680 (Oct 2022). Source: Meiborg_Debt_Schedule_202511.xlsx</t>
      </text>
    </comment>
    <comment ref="D452" authorId="0" shapeId="0">
      <text>
        <t>Loan: Paccar Financial, 3 T680 (Oct 2022). Source: Meiborg_Debt_Schedule_202511.xlsx</t>
      </text>
    </comment>
    <comment ref="D453" authorId="0" shapeId="0">
      <text>
        <t>Loan: Paccar Financial, 3 T680 (Oct 2022). Source: Meiborg_Debt_Schedule_202511.xlsx</t>
      </text>
    </comment>
    <comment ref="D454" authorId="0" shapeId="0">
      <text>
        <t>Loan: Paccar Financial, 3 T680 (Oct 2022). Source: Meiborg_Debt_Schedule_202511.xlsx</t>
      </text>
    </comment>
    <comment ref="D455" authorId="0" shapeId="0">
      <text>
        <t>Loan: Paccar Financial, 3 T680 (Oct 2022). Source: Meiborg_Debt_Schedule_202511.xlsx</t>
      </text>
    </comment>
    <comment ref="D456" authorId="0" shapeId="0">
      <text>
        <t>Loan: Paccar Financial, 3 T680 (Oct 2022). Source: Meiborg_Debt_Schedule_202511.xlsx</t>
      </text>
    </comment>
    <comment ref="D457" authorId="0" shapeId="0">
      <text>
        <t>Loan: Paccar Financial, 3 T680 (Oct 2022). Source: Meiborg_Debt_Schedule_202511.xlsx</t>
      </text>
    </comment>
    <comment ref="D458" authorId="0" shapeId="0">
      <text>
        <t>Loan: Paccar Financial, 3 T680 (Oct 2022). Source: Meiborg_Debt_Schedule_202511.xlsx</t>
      </text>
    </comment>
    <comment ref="D459" authorId="0" shapeId="0">
      <text>
        <t>Loan: Paccar Financial, 3 T680 (Oct 2022). Source: Meiborg_Debt_Schedule_202511.xlsx</t>
      </text>
    </comment>
    <comment ref="D460" authorId="0" shapeId="0">
      <text>
        <t>Loan: Paccar Financial, 3 T680 (Oct 2022). Source: Meiborg_Debt_Schedule_202511.xlsx</t>
      </text>
    </comment>
    <comment ref="D461" authorId="0" shapeId="0">
      <text>
        <t>Loan: Paccar Financial, 3 T680 (Oct 2022). Source: Meiborg_Debt_Schedule_202511.xlsx</t>
      </text>
    </comment>
    <comment ref="D462" authorId="0" shapeId="0">
      <text>
        <t>Loan: Paccar Financial, 3 T680 (Oct 2022). Source: Meiborg_Debt_Schedule_202511.xlsx</t>
      </text>
    </comment>
    <comment ref="D463" authorId="0" shapeId="0">
      <text>
        <t>Loan: Paccar Financial, 3 T680 (Oct 2022). Source: Meiborg_Debt_Schedule_202511.xlsx</t>
      </text>
    </comment>
    <comment ref="D464" authorId="0" shapeId="0">
      <text>
        <t>Sum of rows 431-463: Interest payments</t>
      </text>
    </comment>
    <comment ref="E464" authorId="0" shapeId="0">
      <text>
        <t>Sum of rows 431-463: Principal payments</t>
      </text>
    </comment>
    <comment ref="C467" authorId="0" shapeId="0">
      <text>
        <t>Source: Meiborg_Debt_Schedule_202511.xlsx
Extracted: 2025-11-30</t>
      </text>
    </comment>
    <comment ref="C468" authorId="0" shapeId="0">
      <text>
        <t>Source: Meiborg_Debt_Schedule_202511.xlsx
Extracted: 2025-11-30</t>
      </text>
    </comment>
    <comment ref="C469" authorId="0" shapeId="0">
      <text>
        <t>Source: Meiborg_Debt_Schedule_202511.xlsx
Extracted: 2025-11-30</t>
      </text>
    </comment>
    <comment ref="C470" authorId="0" shapeId="0">
      <text>
        <t>Source: Meiborg_Debt_Schedule_202511.xlsx
Extracted: 2025-11-30</t>
      </text>
    </comment>
    <comment ref="C471" authorId="0" shapeId="0">
      <text>
        <t>Source: Meiborg_Debt_Schedule_202511.xlsx
Extracted: 2025-11-30</t>
      </text>
    </comment>
    <comment ref="C472" authorId="0" shapeId="0">
      <text>
        <t>Source: Meiborg_Debt_Schedule_202511.xlsx
Extracted: 2025-11-30</t>
      </text>
    </comment>
    <comment ref="C473" authorId="0" shapeId="0">
      <text>
        <t>Source: Meiborg_Debt_Schedule_202511.xlsx
Extracted: 2025-11-30</t>
      </text>
    </comment>
    <comment ref="C474" authorId="0" shapeId="0">
      <text>
        <t>Source: Meiborg_Debt_Schedule_202511.xlsx
Extracted: 2025-11-30</t>
      </text>
    </comment>
    <comment ref="C475" authorId="0" shapeId="0">
      <text>
        <t>Driver: Standard amortizing equipment loan.
Derived from: Paccar Financial equipment financing.</t>
      </text>
    </comment>
    <comment ref="D479" authorId="0" shapeId="0">
      <text>
        <t>Loan: Paccar Financial, 2 T680 (Oct 2022). Source: Meiborg_Debt_Schedule_202511.xlsx</t>
      </text>
    </comment>
    <comment ref="D480" authorId="0" shapeId="0">
      <text>
        <t>Loan: Paccar Financial, 2 T680 (Oct 2022). Source: Meiborg_Debt_Schedule_202511.xlsx</t>
      </text>
    </comment>
    <comment ref="D481" authorId="0" shapeId="0">
      <text>
        <t>Loan: Paccar Financial, 2 T680 (Oct 2022). Source: Meiborg_Debt_Schedule_202511.xlsx</t>
      </text>
    </comment>
    <comment ref="D482" authorId="0" shapeId="0">
      <text>
        <t>Loan: Paccar Financial, 2 T680 (Oct 2022). Source: Meiborg_Debt_Schedule_202511.xlsx</t>
      </text>
    </comment>
    <comment ref="D483" authorId="0" shapeId="0">
      <text>
        <t>Loan: Paccar Financial, 2 T680 (Oct 2022). Source: Meiborg_Debt_Schedule_202511.xlsx</t>
      </text>
    </comment>
    <comment ref="D484" authorId="0" shapeId="0">
      <text>
        <t>Loan: Paccar Financial, 2 T680 (Oct 2022). Source: Meiborg_Debt_Schedule_202511.xlsx</t>
      </text>
    </comment>
    <comment ref="D485" authorId="0" shapeId="0">
      <text>
        <t>Loan: Paccar Financial, 2 T680 (Oct 2022). Source: Meiborg_Debt_Schedule_202511.xlsx</t>
      </text>
    </comment>
    <comment ref="D486" authorId="0" shapeId="0">
      <text>
        <t>Loan: Paccar Financial, 2 T680 (Oct 2022). Source: Meiborg_Debt_Schedule_202511.xlsx</t>
      </text>
    </comment>
    <comment ref="D487" authorId="0" shapeId="0">
      <text>
        <t>Loan: Paccar Financial, 2 T680 (Oct 2022). Source: Meiborg_Debt_Schedule_202511.xlsx</t>
      </text>
    </comment>
    <comment ref="D488" authorId="0" shapeId="0">
      <text>
        <t>Loan: Paccar Financial, 2 T680 (Oct 2022). Source: Meiborg_Debt_Schedule_202511.xlsx</t>
      </text>
    </comment>
    <comment ref="D489" authorId="0" shapeId="0">
      <text>
        <t>Loan: Paccar Financial, 2 T680 (Oct 2022). Source: Meiborg_Debt_Schedule_202511.xlsx</t>
      </text>
    </comment>
    <comment ref="D490" authorId="0" shapeId="0">
      <text>
        <t>Loan: Paccar Financial, 2 T680 (Oct 2022). Source: Meiborg_Debt_Schedule_202511.xlsx</t>
      </text>
    </comment>
    <comment ref="D491" authorId="0" shapeId="0">
      <text>
        <t>Loan: Paccar Financial, 2 T680 (Oct 2022). Source: Meiborg_Debt_Schedule_202511.xlsx</t>
      </text>
    </comment>
    <comment ref="D492" authorId="0" shapeId="0">
      <text>
        <t>Loan: Paccar Financial, 2 T680 (Oct 2022). Source: Meiborg_Debt_Schedule_202511.xlsx</t>
      </text>
    </comment>
    <comment ref="D493" authorId="0" shapeId="0">
      <text>
        <t>Loan: Paccar Financial, 2 T680 (Oct 2022). Source: Meiborg_Debt_Schedule_202511.xlsx</t>
      </text>
    </comment>
    <comment ref="D494" authorId="0" shapeId="0">
      <text>
        <t>Loan: Paccar Financial, 2 T680 (Oct 2022). Source: Meiborg_Debt_Schedule_202511.xlsx</t>
      </text>
    </comment>
    <comment ref="D495" authorId="0" shapeId="0">
      <text>
        <t>Loan: Paccar Financial, 2 T680 (Oct 2022). Source: Meiborg_Debt_Schedule_202511.xlsx</t>
      </text>
    </comment>
    <comment ref="D496" authorId="0" shapeId="0">
      <text>
        <t>Loan: Paccar Financial, 2 T680 (Oct 2022). Source: Meiborg_Debt_Schedule_202511.xlsx</t>
      </text>
    </comment>
    <comment ref="D497" authorId="0" shapeId="0">
      <text>
        <t>Loan: Paccar Financial, 2 T680 (Oct 2022). Source: Meiborg_Debt_Schedule_202511.xlsx</t>
      </text>
    </comment>
    <comment ref="D498" authorId="0" shapeId="0">
      <text>
        <t>Loan: Paccar Financial, 2 T680 (Oct 2022). Source: Meiborg_Debt_Schedule_202511.xlsx</t>
      </text>
    </comment>
    <comment ref="D499" authorId="0" shapeId="0">
      <text>
        <t>Loan: Paccar Financial, 2 T680 (Oct 2022). Source: Meiborg_Debt_Schedule_202511.xlsx</t>
      </text>
    </comment>
    <comment ref="D500" authorId="0" shapeId="0">
      <text>
        <t>Loan: Paccar Financial, 2 T680 (Oct 2022). Source: Meiborg_Debt_Schedule_202511.xlsx</t>
      </text>
    </comment>
    <comment ref="D501" authorId="0" shapeId="0">
      <text>
        <t>Loan: Paccar Financial, 2 T680 (Oct 2022). Source: Meiborg_Debt_Schedule_202511.xlsx</t>
      </text>
    </comment>
    <comment ref="D502" authorId="0" shapeId="0">
      <text>
        <t>Loan: Paccar Financial, 2 T680 (Oct 2022). Source: Meiborg_Debt_Schedule_202511.xlsx</t>
      </text>
    </comment>
    <comment ref="D503" authorId="0" shapeId="0">
      <text>
        <t>Loan: Paccar Financial, 2 T680 (Oct 2022). Source: Meiborg_Debt_Schedule_202511.xlsx</t>
      </text>
    </comment>
    <comment ref="D504" authorId="0" shapeId="0">
      <text>
        <t>Loan: Paccar Financial, 2 T680 (Oct 2022). Source: Meiborg_Debt_Schedule_202511.xlsx</t>
      </text>
    </comment>
    <comment ref="D505" authorId="0" shapeId="0">
      <text>
        <t>Loan: Paccar Financial, 2 T680 (Oct 2022). Source: Meiborg_Debt_Schedule_202511.xlsx</t>
      </text>
    </comment>
    <comment ref="D506" authorId="0" shapeId="0">
      <text>
        <t>Loan: Paccar Financial, 2 T680 (Oct 2022). Source: Meiborg_Debt_Schedule_202511.xlsx</t>
      </text>
    </comment>
    <comment ref="D507" authorId="0" shapeId="0">
      <text>
        <t>Loan: Paccar Financial, 2 T680 (Oct 2022). Source: Meiborg_Debt_Schedule_202511.xlsx</t>
      </text>
    </comment>
    <comment ref="D508" authorId="0" shapeId="0">
      <text>
        <t>Loan: Paccar Financial, 2 T680 (Oct 2022). Source: Meiborg_Debt_Schedule_202511.xlsx</t>
      </text>
    </comment>
    <comment ref="D509" authorId="0" shapeId="0">
      <text>
        <t>Loan: Paccar Financial, 2 T680 (Oct 2022). Source: Meiborg_Debt_Schedule_202511.xlsx</t>
      </text>
    </comment>
    <comment ref="D510" authorId="0" shapeId="0">
      <text>
        <t>Loan: Paccar Financial, 2 T680 (Oct 2022). Source: Meiborg_Debt_Schedule_202511.xlsx</t>
      </text>
    </comment>
    <comment ref="D511" authorId="0" shapeId="0">
      <text>
        <t>Loan: Paccar Financial, 2 T680 (Oct 2022). Source: Meiborg_Debt_Schedule_202511.xlsx</t>
      </text>
    </comment>
    <comment ref="D512" authorId="0" shapeId="0">
      <text>
        <t>Sum of rows 479-511: Interest payments</t>
      </text>
    </comment>
    <comment ref="E512" authorId="0" shapeId="0">
      <text>
        <t>Sum of rows 479-511: Principal payments</t>
      </text>
    </comment>
    <comment ref="C515" authorId="0" shapeId="0">
      <text>
        <t>Source: Meiborg_Debt_Schedule_202511.xlsx
Extracted: 2025-11-30</t>
      </text>
    </comment>
    <comment ref="C516" authorId="0" shapeId="0">
      <text>
        <t>Source: Meiborg_Debt_Schedule_202511.xlsx
Extracted: 2025-11-30</t>
      </text>
    </comment>
    <comment ref="C517" authorId="0" shapeId="0">
      <text>
        <t>Source: Meiborg_Debt_Schedule_202511.xlsx
Extracted: 2025-11-30</t>
      </text>
    </comment>
    <comment ref="C518" authorId="0" shapeId="0">
      <text>
        <t>Source: Meiborg_Debt_Schedule_202511.xlsx
Extracted: 2025-11-30</t>
      </text>
    </comment>
    <comment ref="C519" authorId="0" shapeId="0">
      <text>
        <t>Source: Meiborg_Debt_Schedule_202511.xlsx
Extracted: 2025-11-30</t>
      </text>
    </comment>
    <comment ref="C520" authorId="0" shapeId="0">
      <text>
        <t>Source: Meiborg_Debt_Schedule_202511.xlsx
Extracted: 2025-11-30</t>
      </text>
    </comment>
    <comment ref="C521" authorId="0" shapeId="0">
      <text>
        <t>Source: Meiborg_Debt_Schedule_202511.xlsx
Extracted: 2025-11-30</t>
      </text>
    </comment>
    <comment ref="C522" authorId="0" shapeId="0">
      <text>
        <t>Source: Meiborg_Debt_Schedule_202511.xlsx
Extracted: 2025-11-30</t>
      </text>
    </comment>
    <comment ref="C523" authorId="0" shapeId="0">
      <text>
        <t>Driver: Standard amortizing equipment loan.
Derived from: Paccar Financial equipment financing.</t>
      </text>
    </comment>
    <comment ref="D527" authorId="0" shapeId="0">
      <text>
        <t>Loan: Paccar Financial, 2 T680 (Nov 2022). Source: Meiborg_Debt_Schedule_202511.xlsx</t>
      </text>
    </comment>
    <comment ref="D528" authorId="0" shapeId="0">
      <text>
        <t>Loan: Paccar Financial, 2 T680 (Nov 2022). Source: Meiborg_Debt_Schedule_202511.xlsx</t>
      </text>
    </comment>
    <comment ref="D529" authorId="0" shapeId="0">
      <text>
        <t>Loan: Paccar Financial, 2 T680 (Nov 2022). Source: Meiborg_Debt_Schedule_202511.xlsx</t>
      </text>
    </comment>
    <comment ref="D530" authorId="0" shapeId="0">
      <text>
        <t>Loan: Paccar Financial, 2 T680 (Nov 2022). Source: Meiborg_Debt_Schedule_202511.xlsx</t>
      </text>
    </comment>
    <comment ref="D531" authorId="0" shapeId="0">
      <text>
        <t>Loan: Paccar Financial, 2 T680 (Nov 2022). Source: Meiborg_Debt_Schedule_202511.xlsx</t>
      </text>
    </comment>
    <comment ref="D532" authorId="0" shapeId="0">
      <text>
        <t>Loan: Paccar Financial, 2 T680 (Nov 2022). Source: Meiborg_Debt_Schedule_202511.xlsx</t>
      </text>
    </comment>
    <comment ref="D533" authorId="0" shapeId="0">
      <text>
        <t>Loan: Paccar Financial, 2 T680 (Nov 2022). Source: Meiborg_Debt_Schedule_202511.xlsx</t>
      </text>
    </comment>
    <comment ref="D534" authorId="0" shapeId="0">
      <text>
        <t>Loan: Paccar Financial, 2 T680 (Nov 2022). Source: Meiborg_Debt_Schedule_202511.xlsx</t>
      </text>
    </comment>
    <comment ref="D535" authorId="0" shapeId="0">
      <text>
        <t>Loan: Paccar Financial, 2 T680 (Nov 2022). Source: Meiborg_Debt_Schedule_202511.xlsx</t>
      </text>
    </comment>
    <comment ref="D536" authorId="0" shapeId="0">
      <text>
        <t>Loan: Paccar Financial, 2 T680 (Nov 2022). Source: Meiborg_Debt_Schedule_202511.xlsx</t>
      </text>
    </comment>
    <comment ref="D537" authorId="0" shapeId="0">
      <text>
        <t>Loan: Paccar Financial, 2 T680 (Nov 2022). Source: Meiborg_Debt_Schedule_202511.xlsx</t>
      </text>
    </comment>
    <comment ref="D538" authorId="0" shapeId="0">
      <text>
        <t>Loan: Paccar Financial, 2 T680 (Nov 2022). Source: Meiborg_Debt_Schedule_202511.xlsx</t>
      </text>
    </comment>
    <comment ref="D539" authorId="0" shapeId="0">
      <text>
        <t>Loan: Paccar Financial, 2 T680 (Nov 2022). Source: Meiborg_Debt_Schedule_202511.xlsx</t>
      </text>
    </comment>
    <comment ref="D540" authorId="0" shapeId="0">
      <text>
        <t>Loan: Paccar Financial, 2 T680 (Nov 2022). Source: Meiborg_Debt_Schedule_202511.xlsx</t>
      </text>
    </comment>
    <comment ref="D541" authorId="0" shapeId="0">
      <text>
        <t>Loan: Paccar Financial, 2 T680 (Nov 2022). Source: Meiborg_Debt_Schedule_202511.xlsx</t>
      </text>
    </comment>
    <comment ref="D542" authorId="0" shapeId="0">
      <text>
        <t>Loan: Paccar Financial, 2 T680 (Nov 2022). Source: Meiborg_Debt_Schedule_202511.xlsx</t>
      </text>
    </comment>
    <comment ref="D543" authorId="0" shapeId="0">
      <text>
        <t>Loan: Paccar Financial, 2 T680 (Nov 2022). Source: Meiborg_Debt_Schedule_202511.xlsx</t>
      </text>
    </comment>
    <comment ref="D544" authorId="0" shapeId="0">
      <text>
        <t>Loan: Paccar Financial, 2 T680 (Nov 2022). Source: Meiborg_Debt_Schedule_202511.xlsx</t>
      </text>
    </comment>
    <comment ref="D545" authorId="0" shapeId="0">
      <text>
        <t>Loan: Paccar Financial, 2 T680 (Nov 2022). Source: Meiborg_Debt_Schedule_202511.xlsx</t>
      </text>
    </comment>
    <comment ref="D546" authorId="0" shapeId="0">
      <text>
        <t>Loan: Paccar Financial, 2 T680 (Nov 2022). Source: Meiborg_Debt_Schedule_202511.xlsx</t>
      </text>
    </comment>
    <comment ref="D547" authorId="0" shapeId="0">
      <text>
        <t>Loan: Paccar Financial, 2 T680 (Nov 2022). Source: Meiborg_Debt_Schedule_202511.xlsx</t>
      </text>
    </comment>
    <comment ref="D548" authorId="0" shapeId="0">
      <text>
        <t>Loan: Paccar Financial, 2 T680 (Nov 2022). Source: Meiborg_Debt_Schedule_202511.xlsx</t>
      </text>
    </comment>
    <comment ref="D549" authorId="0" shapeId="0">
      <text>
        <t>Loan: Paccar Financial, 2 T680 (Nov 2022). Source: Meiborg_Debt_Schedule_202511.xlsx</t>
      </text>
    </comment>
    <comment ref="D550" authorId="0" shapeId="0">
      <text>
        <t>Loan: Paccar Financial, 2 T680 (Nov 2022). Source: Meiborg_Debt_Schedule_202511.xlsx</t>
      </text>
    </comment>
    <comment ref="D551" authorId="0" shapeId="0">
      <text>
        <t>Loan: Paccar Financial, 2 T680 (Nov 2022). Source: Meiborg_Debt_Schedule_202511.xlsx</t>
      </text>
    </comment>
    <comment ref="D552" authorId="0" shapeId="0">
      <text>
        <t>Loan: Paccar Financial, 2 T680 (Nov 2022). Source: Meiborg_Debt_Schedule_202511.xlsx</t>
      </text>
    </comment>
    <comment ref="D553" authorId="0" shapeId="0">
      <text>
        <t>Loan: Paccar Financial, 2 T680 (Nov 2022). Source: Meiborg_Debt_Schedule_202511.xlsx</t>
      </text>
    </comment>
    <comment ref="D554" authorId="0" shapeId="0">
      <text>
        <t>Loan: Paccar Financial, 2 T680 (Nov 2022). Source: Meiborg_Debt_Schedule_202511.xlsx</t>
      </text>
    </comment>
    <comment ref="D555" authorId="0" shapeId="0">
      <text>
        <t>Loan: Paccar Financial, 2 T680 (Nov 2022). Source: Meiborg_Debt_Schedule_202511.xlsx</t>
      </text>
    </comment>
    <comment ref="D556" authorId="0" shapeId="0">
      <text>
        <t>Loan: Paccar Financial, 2 T680 (Nov 2022). Source: Meiborg_Debt_Schedule_202511.xlsx</t>
      </text>
    </comment>
    <comment ref="D557" authorId="0" shapeId="0">
      <text>
        <t>Loan: Paccar Financial, 2 T680 (Nov 2022). Source: Meiborg_Debt_Schedule_202511.xlsx</t>
      </text>
    </comment>
    <comment ref="D558" authorId="0" shapeId="0">
      <text>
        <t>Loan: Paccar Financial, 2 T680 (Nov 2022). Source: Meiborg_Debt_Schedule_202511.xlsx</t>
      </text>
    </comment>
    <comment ref="D559" authorId="0" shapeId="0">
      <text>
        <t>Loan: Paccar Financial, 2 T680 (Nov 2022). Source: Meiborg_Debt_Schedule_202511.xlsx</t>
      </text>
    </comment>
    <comment ref="D560" authorId="0" shapeId="0">
      <text>
        <t>Loan: Paccar Financial, 2 T680 (Nov 2022). Source: Meiborg_Debt_Schedule_202511.xlsx</t>
      </text>
    </comment>
    <comment ref="D561" authorId="0" shapeId="0">
      <text>
        <t>Sum of rows 527-560: Interest payments</t>
      </text>
    </comment>
    <comment ref="E561" authorId="0" shapeId="0">
      <text>
        <t>Sum of rows 527-560: Principal payments</t>
      </text>
    </comment>
    <comment ref="C564" authorId="0" shapeId="0">
      <text>
        <t>Source: Meiborg_Debt_Schedule_202511.xlsx
Extracted: 2025-11-30</t>
      </text>
    </comment>
    <comment ref="C565" authorId="0" shapeId="0">
      <text>
        <t>Source: Meiborg_Debt_Schedule_202511.xlsx
Extracted: 2025-11-30</t>
      </text>
    </comment>
    <comment ref="C566" authorId="0" shapeId="0">
      <text>
        <t>Source: Meiborg_Debt_Schedule_202511.xlsx
Extracted: 2025-11-30</t>
      </text>
    </comment>
    <comment ref="C567" authorId="0" shapeId="0">
      <text>
        <t>Source: Meiborg_Debt_Schedule_202511.xlsx
Extracted: 2025-11-30</t>
      </text>
    </comment>
    <comment ref="C568" authorId="0" shapeId="0">
      <text>
        <t>Source: Meiborg_Debt_Schedule_202511.xlsx
Extracted: 2025-11-30</t>
      </text>
    </comment>
    <comment ref="C569" authorId="0" shapeId="0">
      <text>
        <t>Source: Meiborg_Debt_Schedule_202511.xlsx
Extracted: 2025-11-30</t>
      </text>
    </comment>
    <comment ref="C570" authorId="0" shapeId="0">
      <text>
        <t>Source: Meiborg_Debt_Schedule_202511.xlsx
Extracted: 2025-11-30</t>
      </text>
    </comment>
    <comment ref="C571" authorId="0" shapeId="0">
      <text>
        <t>Source: Meiborg_Debt_Schedule_202511.xlsx
Extracted: 2025-11-30</t>
      </text>
    </comment>
    <comment ref="C572" authorId="0" shapeId="0">
      <text>
        <t>Driver: Standard amortizing equipment loan.
Derived from: Paccar Financial equipment financing.</t>
      </text>
    </comment>
    <comment ref="D576" authorId="0" shapeId="0">
      <text>
        <t>Loan: Paccar Financial, 3 T680 (Dec 2022). Source: Meiborg_Debt_Schedule_202511.xlsx</t>
      </text>
    </comment>
    <comment ref="D577" authorId="0" shapeId="0">
      <text>
        <t>Loan: Paccar Financial, 3 T680 (Dec 2022). Source: Meiborg_Debt_Schedule_202511.xlsx</t>
      </text>
    </comment>
    <comment ref="D578" authorId="0" shapeId="0">
      <text>
        <t>Loan: Paccar Financial, 3 T680 (Dec 2022). Source: Meiborg_Debt_Schedule_202511.xlsx</t>
      </text>
    </comment>
    <comment ref="D579" authorId="0" shapeId="0">
      <text>
        <t>Loan: Paccar Financial, 3 T680 (Dec 2022). Source: Meiborg_Debt_Schedule_202511.xlsx</t>
      </text>
    </comment>
    <comment ref="D580" authorId="0" shapeId="0">
      <text>
        <t>Loan: Paccar Financial, 3 T680 (Dec 2022). Source: Meiborg_Debt_Schedule_202511.xlsx</t>
      </text>
    </comment>
    <comment ref="D581" authorId="0" shapeId="0">
      <text>
        <t>Loan: Paccar Financial, 3 T680 (Dec 2022). Source: Meiborg_Debt_Schedule_202511.xlsx</t>
      </text>
    </comment>
    <comment ref="D582" authorId="0" shapeId="0">
      <text>
        <t>Loan: Paccar Financial, 3 T680 (Dec 2022). Source: Meiborg_Debt_Schedule_202511.xlsx</t>
      </text>
    </comment>
    <comment ref="D583" authorId="0" shapeId="0">
      <text>
        <t>Loan: Paccar Financial, 3 T680 (Dec 2022). Source: Meiborg_Debt_Schedule_202511.xlsx</t>
      </text>
    </comment>
    <comment ref="D584" authorId="0" shapeId="0">
      <text>
        <t>Loan: Paccar Financial, 3 T680 (Dec 2022). Source: Meiborg_Debt_Schedule_202511.xlsx</t>
      </text>
    </comment>
    <comment ref="D585" authorId="0" shapeId="0">
      <text>
        <t>Loan: Paccar Financial, 3 T680 (Dec 2022). Source: Meiborg_Debt_Schedule_202511.xlsx</t>
      </text>
    </comment>
    <comment ref="D586" authorId="0" shapeId="0">
      <text>
        <t>Loan: Paccar Financial, 3 T680 (Dec 2022). Source: Meiborg_Debt_Schedule_202511.xlsx</t>
      </text>
    </comment>
    <comment ref="D587" authorId="0" shapeId="0">
      <text>
        <t>Loan: Paccar Financial, 3 T680 (Dec 2022). Source: Meiborg_Debt_Schedule_202511.xlsx</t>
      </text>
    </comment>
    <comment ref="D588" authorId="0" shapeId="0">
      <text>
        <t>Loan: Paccar Financial, 3 T680 (Dec 2022). Source: Meiborg_Debt_Schedule_202511.xlsx</t>
      </text>
    </comment>
    <comment ref="D589" authorId="0" shapeId="0">
      <text>
        <t>Loan: Paccar Financial, 3 T680 (Dec 2022). Source: Meiborg_Debt_Schedule_202511.xlsx</t>
      </text>
    </comment>
    <comment ref="D590" authorId="0" shapeId="0">
      <text>
        <t>Loan: Paccar Financial, 3 T680 (Dec 2022). Source: Meiborg_Debt_Schedule_202511.xlsx</t>
      </text>
    </comment>
    <comment ref="D591" authorId="0" shapeId="0">
      <text>
        <t>Loan: Paccar Financial, 3 T680 (Dec 2022). Source: Meiborg_Debt_Schedule_202511.xlsx</t>
      </text>
    </comment>
    <comment ref="D592" authorId="0" shapeId="0">
      <text>
        <t>Loan: Paccar Financial, 3 T680 (Dec 2022). Source: Meiborg_Debt_Schedule_202511.xlsx</t>
      </text>
    </comment>
    <comment ref="D593" authorId="0" shapeId="0">
      <text>
        <t>Loan: Paccar Financial, 3 T680 (Dec 2022). Source: Meiborg_Debt_Schedule_202511.xlsx</t>
      </text>
    </comment>
    <comment ref="D594" authorId="0" shapeId="0">
      <text>
        <t>Loan: Paccar Financial, 3 T680 (Dec 2022). Source: Meiborg_Debt_Schedule_202511.xlsx</t>
      </text>
    </comment>
    <comment ref="D595" authorId="0" shapeId="0">
      <text>
        <t>Loan: Paccar Financial, 3 T680 (Dec 2022). Source: Meiborg_Debt_Schedule_202511.xlsx</t>
      </text>
    </comment>
    <comment ref="D596" authorId="0" shapeId="0">
      <text>
        <t>Loan: Paccar Financial, 3 T680 (Dec 2022). Source: Meiborg_Debt_Schedule_202511.xlsx</t>
      </text>
    </comment>
    <comment ref="D597" authorId="0" shapeId="0">
      <text>
        <t>Loan: Paccar Financial, 3 T680 (Dec 2022). Source: Meiborg_Debt_Schedule_202511.xlsx</t>
      </text>
    </comment>
    <comment ref="D598" authorId="0" shapeId="0">
      <text>
        <t>Loan: Paccar Financial, 3 T680 (Dec 2022). Source: Meiborg_Debt_Schedule_202511.xlsx</t>
      </text>
    </comment>
    <comment ref="D599" authorId="0" shapeId="0">
      <text>
        <t>Loan: Paccar Financial, 3 T680 (Dec 2022). Source: Meiborg_Debt_Schedule_202511.xlsx</t>
      </text>
    </comment>
    <comment ref="D600" authorId="0" shapeId="0">
      <text>
        <t>Loan: Paccar Financial, 3 T680 (Dec 2022). Source: Meiborg_Debt_Schedule_202511.xlsx</t>
      </text>
    </comment>
    <comment ref="D601" authorId="0" shapeId="0">
      <text>
        <t>Loan: Paccar Financial, 3 T680 (Dec 2022). Source: Meiborg_Debt_Schedule_202511.xlsx</t>
      </text>
    </comment>
    <comment ref="D602" authorId="0" shapeId="0">
      <text>
        <t>Loan: Paccar Financial, 3 T680 (Dec 2022). Source: Meiborg_Debt_Schedule_202511.xlsx</t>
      </text>
    </comment>
    <comment ref="D603" authorId="0" shapeId="0">
      <text>
        <t>Loan: Paccar Financial, 3 T680 (Dec 2022). Source: Meiborg_Debt_Schedule_202511.xlsx</t>
      </text>
    </comment>
    <comment ref="D604" authorId="0" shapeId="0">
      <text>
        <t>Loan: Paccar Financial, 3 T680 (Dec 2022). Source: Meiborg_Debt_Schedule_202511.xlsx</t>
      </text>
    </comment>
    <comment ref="D605" authorId="0" shapeId="0">
      <text>
        <t>Loan: Paccar Financial, 3 T680 (Dec 2022). Source: Meiborg_Debt_Schedule_202511.xlsx</t>
      </text>
    </comment>
    <comment ref="D606" authorId="0" shapeId="0">
      <text>
        <t>Loan: Paccar Financial, 3 T680 (Dec 2022). Source: Meiborg_Debt_Schedule_202511.xlsx</t>
      </text>
    </comment>
    <comment ref="D607" authorId="0" shapeId="0">
      <text>
        <t>Loan: Paccar Financial, 3 T680 (Dec 2022). Source: Meiborg_Debt_Schedule_202511.xlsx</t>
      </text>
    </comment>
    <comment ref="D608" authorId="0" shapeId="0">
      <text>
        <t>Loan: Paccar Financial, 3 T680 (Dec 2022). Source: Meiborg_Debt_Schedule_202511.xlsx</t>
      </text>
    </comment>
    <comment ref="D609" authorId="0" shapeId="0">
      <text>
        <t>Loan: Paccar Financial, 3 T680 (Dec 2022). Source: Meiborg_Debt_Schedule_202511.xlsx</t>
      </text>
    </comment>
    <comment ref="D610" authorId="0" shapeId="0">
      <text>
        <t>Sum of rows 576-609: Interest payments</t>
      </text>
    </comment>
    <comment ref="E610" authorId="0" shapeId="0">
      <text>
        <t>Sum of rows 576-609: Principal payments</t>
      </text>
    </comment>
    <comment ref="C613" authorId="0" shapeId="0">
      <text>
        <t>Source: Meiborg_Debt_Schedule_202511.xlsx
Extracted: 2025-11-30</t>
      </text>
    </comment>
    <comment ref="C614" authorId="0" shapeId="0">
      <text>
        <t>Source: Meiborg_Debt_Schedule_202511.xlsx
Extracted: 2025-11-30</t>
      </text>
    </comment>
    <comment ref="C615" authorId="0" shapeId="0">
      <text>
        <t>Source: Meiborg_Debt_Schedule_202511.xlsx
Extracted: 2025-11-30</t>
      </text>
    </comment>
    <comment ref="C616" authorId="0" shapeId="0">
      <text>
        <t>Source: Meiborg_Debt_Schedule_202511.xlsx
Extracted: 2025-11-30</t>
      </text>
    </comment>
    <comment ref="C617" authorId="0" shapeId="0">
      <text>
        <t>Source: Meiborg_Debt_Schedule_202511.xlsx
Extracted: 2025-11-30</t>
      </text>
    </comment>
    <comment ref="C618" authorId="0" shapeId="0">
      <text>
        <t>Source: Meiborg_Debt_Schedule_202511.xlsx
Extracted: 2025-11-30</t>
      </text>
    </comment>
    <comment ref="C619" authorId="0" shapeId="0">
      <text>
        <t>Source: Meiborg_Debt_Schedule_202511.xlsx
Extracted: 2025-11-30</t>
      </text>
    </comment>
    <comment ref="C620" authorId="0" shapeId="0">
      <text>
        <t>Source: Meiborg_Debt_Schedule_202511.xlsx
Extracted: 2025-11-30</t>
      </text>
    </comment>
    <comment ref="C621" authorId="0" shapeId="0">
      <text>
        <t>Driver: Standard amortizing equipment loan.
Derived from: Paccar Financial equipment financing.</t>
      </text>
    </comment>
    <comment ref="D625" authorId="0" shapeId="0">
      <text>
        <t>Loan: Paccar Financial, 3 T680 (Dec 2022). Source: Meiborg_Debt_Schedule_202511.xlsx</t>
      </text>
    </comment>
    <comment ref="D626" authorId="0" shapeId="0">
      <text>
        <t>Loan: Paccar Financial, 3 T680 (Dec 2022). Source: Meiborg_Debt_Schedule_202511.xlsx</t>
      </text>
    </comment>
    <comment ref="D627" authorId="0" shapeId="0">
      <text>
        <t>Loan: Paccar Financial, 3 T680 (Dec 2022). Source: Meiborg_Debt_Schedule_202511.xlsx</t>
      </text>
    </comment>
    <comment ref="D628" authorId="0" shapeId="0">
      <text>
        <t>Loan: Paccar Financial, 3 T680 (Dec 2022). Source: Meiborg_Debt_Schedule_202511.xlsx</t>
      </text>
    </comment>
    <comment ref="D629" authorId="0" shapeId="0">
      <text>
        <t>Loan: Paccar Financial, 3 T680 (Dec 2022). Source: Meiborg_Debt_Schedule_202511.xlsx</t>
      </text>
    </comment>
    <comment ref="D630" authorId="0" shapeId="0">
      <text>
        <t>Loan: Paccar Financial, 3 T680 (Dec 2022). Source: Meiborg_Debt_Schedule_202511.xlsx</t>
      </text>
    </comment>
    <comment ref="D631" authorId="0" shapeId="0">
      <text>
        <t>Loan: Paccar Financial, 3 T680 (Dec 2022). Source: Meiborg_Debt_Schedule_202511.xlsx</t>
      </text>
    </comment>
    <comment ref="D632" authorId="0" shapeId="0">
      <text>
        <t>Loan: Paccar Financial, 3 T680 (Dec 2022). Source: Meiborg_Debt_Schedule_202511.xlsx</t>
      </text>
    </comment>
    <comment ref="D633" authorId="0" shapeId="0">
      <text>
        <t>Loan: Paccar Financial, 3 T680 (Dec 2022). Source: Meiborg_Debt_Schedule_202511.xlsx</t>
      </text>
    </comment>
    <comment ref="D634" authorId="0" shapeId="0">
      <text>
        <t>Loan: Paccar Financial, 3 T680 (Dec 2022). Source: Meiborg_Debt_Schedule_202511.xlsx</t>
      </text>
    </comment>
    <comment ref="D635" authorId="0" shapeId="0">
      <text>
        <t>Loan: Paccar Financial, 3 T680 (Dec 2022). Source: Meiborg_Debt_Schedule_202511.xlsx</t>
      </text>
    </comment>
    <comment ref="D636" authorId="0" shapeId="0">
      <text>
        <t>Loan: Paccar Financial, 3 T680 (Dec 2022). Source: Meiborg_Debt_Schedule_202511.xlsx</t>
      </text>
    </comment>
    <comment ref="D637" authorId="0" shapeId="0">
      <text>
        <t>Loan: Paccar Financial, 3 T680 (Dec 2022). Source: Meiborg_Debt_Schedule_202511.xlsx</t>
      </text>
    </comment>
    <comment ref="D638" authorId="0" shapeId="0">
      <text>
        <t>Loan: Paccar Financial, 3 T680 (Dec 2022). Source: Meiborg_Debt_Schedule_202511.xlsx</t>
      </text>
    </comment>
    <comment ref="D639" authorId="0" shapeId="0">
      <text>
        <t>Loan: Paccar Financial, 3 T680 (Dec 2022). Source: Meiborg_Debt_Schedule_202511.xlsx</t>
      </text>
    </comment>
    <comment ref="D640" authorId="0" shapeId="0">
      <text>
        <t>Loan: Paccar Financial, 3 T680 (Dec 2022). Source: Meiborg_Debt_Schedule_202511.xlsx</t>
      </text>
    </comment>
    <comment ref="D641" authorId="0" shapeId="0">
      <text>
        <t>Loan: Paccar Financial, 3 T680 (Dec 2022). Source: Meiborg_Debt_Schedule_202511.xlsx</t>
      </text>
    </comment>
    <comment ref="D642" authorId="0" shapeId="0">
      <text>
        <t>Loan: Paccar Financial, 3 T680 (Dec 2022). Source: Meiborg_Debt_Schedule_202511.xlsx</t>
      </text>
    </comment>
    <comment ref="D643" authorId="0" shapeId="0">
      <text>
        <t>Loan: Paccar Financial, 3 T680 (Dec 2022). Source: Meiborg_Debt_Schedule_202511.xlsx</t>
      </text>
    </comment>
    <comment ref="D644" authorId="0" shapeId="0">
      <text>
        <t>Loan: Paccar Financial, 3 T680 (Dec 2022). Source: Meiborg_Debt_Schedule_202511.xlsx</t>
      </text>
    </comment>
    <comment ref="D645" authorId="0" shapeId="0">
      <text>
        <t>Loan: Paccar Financial, 3 T680 (Dec 2022). Source: Meiborg_Debt_Schedule_202511.xlsx</t>
      </text>
    </comment>
    <comment ref="D646" authorId="0" shapeId="0">
      <text>
        <t>Loan: Paccar Financial, 3 T680 (Dec 2022). Source: Meiborg_Debt_Schedule_202511.xlsx</t>
      </text>
    </comment>
    <comment ref="D647" authorId="0" shapeId="0">
      <text>
        <t>Loan: Paccar Financial, 3 T680 (Dec 2022). Source: Meiborg_Debt_Schedule_202511.xlsx</t>
      </text>
    </comment>
    <comment ref="D648" authorId="0" shapeId="0">
      <text>
        <t>Loan: Paccar Financial, 3 T680 (Dec 2022). Source: Meiborg_Debt_Schedule_202511.xlsx</t>
      </text>
    </comment>
    <comment ref="D649" authorId="0" shapeId="0">
      <text>
        <t>Loan: Paccar Financial, 3 T680 (Dec 2022). Source: Meiborg_Debt_Schedule_202511.xlsx</t>
      </text>
    </comment>
    <comment ref="D650" authorId="0" shapeId="0">
      <text>
        <t>Loan: Paccar Financial, 3 T680 (Dec 2022). Source: Meiborg_Debt_Schedule_202511.xlsx</t>
      </text>
    </comment>
    <comment ref="D651" authorId="0" shapeId="0">
      <text>
        <t>Loan: Paccar Financial, 3 T680 (Dec 2022). Source: Meiborg_Debt_Schedule_202511.xlsx</t>
      </text>
    </comment>
    <comment ref="D652" authorId="0" shapeId="0">
      <text>
        <t>Loan: Paccar Financial, 3 T680 (Dec 2022). Source: Meiborg_Debt_Schedule_202511.xlsx</t>
      </text>
    </comment>
    <comment ref="D653" authorId="0" shapeId="0">
      <text>
        <t>Loan: Paccar Financial, 3 T680 (Dec 2022). Source: Meiborg_Debt_Schedule_202511.xlsx</t>
      </text>
    </comment>
    <comment ref="D654" authorId="0" shapeId="0">
      <text>
        <t>Loan: Paccar Financial, 3 T680 (Dec 2022). Source: Meiborg_Debt_Schedule_202511.xlsx</t>
      </text>
    </comment>
    <comment ref="D655" authorId="0" shapeId="0">
      <text>
        <t>Loan: Paccar Financial, 3 T680 (Dec 2022). Source: Meiborg_Debt_Schedule_202511.xlsx</t>
      </text>
    </comment>
    <comment ref="D656" authorId="0" shapeId="0">
      <text>
        <t>Loan: Paccar Financial, 3 T680 (Dec 2022). Source: Meiborg_Debt_Schedule_202511.xlsx</t>
      </text>
    </comment>
    <comment ref="D657" authorId="0" shapeId="0">
      <text>
        <t>Loan: Paccar Financial, 3 T680 (Dec 2022). Source: Meiborg_Debt_Schedule_202511.xlsx</t>
      </text>
    </comment>
    <comment ref="D658" authorId="0" shapeId="0">
      <text>
        <t>Loan: Paccar Financial, 3 T680 (Dec 2022). Source: Meiborg_Debt_Schedule_202511.xlsx</t>
      </text>
    </comment>
    <comment ref="D659" authorId="0" shapeId="0">
      <text>
        <t>Sum of rows 625-658: Interest payments</t>
      </text>
    </comment>
    <comment ref="E659" authorId="0" shapeId="0">
      <text>
        <t>Sum of rows 625-658: Principal payments</t>
      </text>
    </comment>
    <comment ref="C662" authorId="0" shapeId="0">
      <text>
        <t>Source: Meiborg_Debt_Schedule_202511.xlsx
Extracted: 2025-11-30</t>
      </text>
    </comment>
    <comment ref="C663" authorId="0" shapeId="0">
      <text>
        <t>Source: Meiborg_Debt_Schedule_202511.xlsx
Extracted: 2025-11-30</t>
      </text>
    </comment>
    <comment ref="C664" authorId="0" shapeId="0">
      <text>
        <t>Source: Meiborg_Debt_Schedule_202511.xlsx
Extracted: 2025-11-30</t>
      </text>
    </comment>
    <comment ref="C665" authorId="0" shapeId="0">
      <text>
        <t>Source: Meiborg_Debt_Schedule_202511.xlsx
Extracted: 2025-11-30</t>
      </text>
    </comment>
    <comment ref="C666" authorId="0" shapeId="0">
      <text>
        <t>Source: Meiborg_Debt_Schedule_202511.xlsx
Extracted: 2025-11-30</t>
      </text>
    </comment>
    <comment ref="C667" authorId="0" shapeId="0">
      <text>
        <t>Source: Meiborg_Debt_Schedule_202511.xlsx
Extracted: 2025-11-30</t>
      </text>
    </comment>
    <comment ref="C668" authorId="0" shapeId="0">
      <text>
        <t>Source: Meiborg_Debt_Schedule_202511.xlsx
Extracted: 2025-11-30</t>
      </text>
    </comment>
    <comment ref="C669" authorId="0" shapeId="0">
      <text>
        <t>Source: Meiborg_Debt_Schedule_202511.xlsx
Extracted: 2025-11-30</t>
      </text>
    </comment>
    <comment ref="C670" authorId="0" shapeId="0">
      <text>
        <t>Driver: Standard amortizing equipment loan.
Derived from: Paccar Financial equipment financing.</t>
      </text>
    </comment>
    <comment ref="D674" authorId="0" shapeId="0">
      <text>
        <t>Loan: Paccar Financial, 7 T680 (May 2023). Source: Meiborg_Debt_Schedule_202511.xlsx</t>
      </text>
    </comment>
    <comment ref="D675" authorId="0" shapeId="0">
      <text>
        <t>Loan: Paccar Financial, 7 T680 (May 2023). Source: Meiborg_Debt_Schedule_202511.xlsx</t>
      </text>
    </comment>
    <comment ref="D676" authorId="0" shapeId="0">
      <text>
        <t>Loan: Paccar Financial, 7 T680 (May 2023). Source: Meiborg_Debt_Schedule_202511.xlsx</t>
      </text>
    </comment>
    <comment ref="D677" authorId="0" shapeId="0">
      <text>
        <t>Loan: Paccar Financial, 7 T680 (May 2023). Source: Meiborg_Debt_Schedule_202511.xlsx</t>
      </text>
    </comment>
    <comment ref="D678" authorId="0" shapeId="0">
      <text>
        <t>Loan: Paccar Financial, 7 T680 (May 2023). Source: Meiborg_Debt_Schedule_202511.xlsx</t>
      </text>
    </comment>
    <comment ref="D679" authorId="0" shapeId="0">
      <text>
        <t>Loan: Paccar Financial, 7 T680 (May 2023). Source: Meiborg_Debt_Schedule_202511.xlsx</t>
      </text>
    </comment>
    <comment ref="D680" authorId="0" shapeId="0">
      <text>
        <t>Loan: Paccar Financial, 7 T680 (May 2023). Source: Meiborg_Debt_Schedule_202511.xlsx</t>
      </text>
    </comment>
    <comment ref="D681" authorId="0" shapeId="0">
      <text>
        <t>Loan: Paccar Financial, 7 T680 (May 2023). Source: Meiborg_Debt_Schedule_202511.xlsx</t>
      </text>
    </comment>
    <comment ref="D682" authorId="0" shapeId="0">
      <text>
        <t>Loan: Paccar Financial, 7 T680 (May 2023). Source: Meiborg_Debt_Schedule_202511.xlsx</t>
      </text>
    </comment>
    <comment ref="D683" authorId="0" shapeId="0">
      <text>
        <t>Loan: Paccar Financial, 7 T680 (May 2023). Source: Meiborg_Debt_Schedule_202511.xlsx</t>
      </text>
    </comment>
    <comment ref="D684" authorId="0" shapeId="0">
      <text>
        <t>Loan: Paccar Financial, 7 T680 (May 2023). Source: Meiborg_Debt_Schedule_202511.xlsx</t>
      </text>
    </comment>
    <comment ref="D685" authorId="0" shapeId="0">
      <text>
        <t>Loan: Paccar Financial, 7 T680 (May 2023). Source: Meiborg_Debt_Schedule_202511.xlsx</t>
      </text>
    </comment>
    <comment ref="D686" authorId="0" shapeId="0">
      <text>
        <t>Loan: Paccar Financial, 7 T680 (May 2023). Source: Meiborg_Debt_Schedule_202511.xlsx</t>
      </text>
    </comment>
    <comment ref="D687" authorId="0" shapeId="0">
      <text>
        <t>Loan: Paccar Financial, 7 T680 (May 2023). Source: Meiborg_Debt_Schedule_202511.xlsx</t>
      </text>
    </comment>
    <comment ref="D688" authorId="0" shapeId="0">
      <text>
        <t>Loan: Paccar Financial, 7 T680 (May 2023). Source: Meiborg_Debt_Schedule_202511.xlsx</t>
      </text>
    </comment>
    <comment ref="D689" authorId="0" shapeId="0">
      <text>
        <t>Loan: Paccar Financial, 7 T680 (May 2023). Source: Meiborg_Debt_Schedule_202511.xlsx</t>
      </text>
    </comment>
    <comment ref="D690" authorId="0" shapeId="0">
      <text>
        <t>Loan: Paccar Financial, 7 T680 (May 2023). Source: Meiborg_Debt_Schedule_202511.xlsx</t>
      </text>
    </comment>
    <comment ref="D691" authorId="0" shapeId="0">
      <text>
        <t>Loan: Paccar Financial, 7 T680 (May 2023). Source: Meiborg_Debt_Schedule_202511.xlsx</t>
      </text>
    </comment>
    <comment ref="D692" authorId="0" shapeId="0">
      <text>
        <t>Loan: Paccar Financial, 7 T680 (May 2023). Source: Meiborg_Debt_Schedule_202511.xlsx</t>
      </text>
    </comment>
    <comment ref="D693" authorId="0" shapeId="0">
      <text>
        <t>Loan: Paccar Financial, 7 T680 (May 2023). Source: Meiborg_Debt_Schedule_202511.xlsx</t>
      </text>
    </comment>
    <comment ref="D694" authorId="0" shapeId="0">
      <text>
        <t>Loan: Paccar Financial, 7 T680 (May 2023). Source: Meiborg_Debt_Schedule_202511.xlsx</t>
      </text>
    </comment>
    <comment ref="D695" authorId="0" shapeId="0">
      <text>
        <t>Loan: Paccar Financial, 7 T680 (May 2023). Source: Meiborg_Debt_Schedule_202511.xlsx</t>
      </text>
    </comment>
    <comment ref="D696" authorId="0" shapeId="0">
      <text>
        <t>Loan: Paccar Financial, 7 T680 (May 2023). Source: Meiborg_Debt_Schedule_202511.xlsx</t>
      </text>
    </comment>
    <comment ref="D697" authorId="0" shapeId="0">
      <text>
        <t>Loan: Paccar Financial, 7 T680 (May 2023). Source: Meiborg_Debt_Schedule_202511.xlsx</t>
      </text>
    </comment>
    <comment ref="D698" authorId="0" shapeId="0">
      <text>
        <t>Loan: Paccar Financial, 7 T680 (May 2023). Source: Meiborg_Debt_Schedule_202511.xlsx</t>
      </text>
    </comment>
    <comment ref="D699" authorId="0" shapeId="0">
      <text>
        <t>Loan: Paccar Financial, 7 T680 (May 2023). Source: Meiborg_Debt_Schedule_202511.xlsx</t>
      </text>
    </comment>
    <comment ref="D700" authorId="0" shapeId="0">
      <text>
        <t>Loan: Paccar Financial, 7 T680 (May 2023). Source: Meiborg_Debt_Schedule_202511.xlsx</t>
      </text>
    </comment>
    <comment ref="D701" authorId="0" shapeId="0">
      <text>
        <t>Loan: Paccar Financial, 7 T680 (May 2023). Source: Meiborg_Debt_Schedule_202511.xlsx</t>
      </text>
    </comment>
    <comment ref="D702" authorId="0" shapeId="0">
      <text>
        <t>Sum of rows 674-701: Interest payments</t>
      </text>
    </comment>
    <comment ref="E702" authorId="0" shapeId="0">
      <text>
        <t>Sum of rows 674-701: Principal payments</t>
      </text>
    </comment>
    <comment ref="C705" authorId="0" shapeId="0">
      <text>
        <t>Source: Meiborg_Debt_Schedule_202511.xlsx
Extracted: 2025-11-30</t>
      </text>
    </comment>
    <comment ref="C706" authorId="0" shapeId="0">
      <text>
        <t>Source: Meiborg_Debt_Schedule_202511.xlsx
Extracted: 2025-11-30</t>
      </text>
    </comment>
    <comment ref="C707" authorId="0" shapeId="0">
      <text>
        <t>Source: Meiborg_Debt_Schedule_202511.xlsx
Extracted: 2025-11-30</t>
      </text>
    </comment>
    <comment ref="C708" authorId="0" shapeId="0">
      <text>
        <t>Source: Meiborg_Debt_Schedule_202511.xlsx
Extracted: 2025-11-30</t>
      </text>
    </comment>
    <comment ref="C709" authorId="0" shapeId="0">
      <text>
        <t>Source: Meiborg_Debt_Schedule_202511.xlsx
Extracted: 2025-11-30</t>
      </text>
    </comment>
    <comment ref="C710" authorId="0" shapeId="0">
      <text>
        <t>Source: Meiborg_Debt_Schedule_202511.xlsx
Extracted: 2025-11-30</t>
      </text>
    </comment>
    <comment ref="C711" authorId="0" shapeId="0">
      <text>
        <t>Source: Meiborg_Debt_Schedule_202511.xlsx
Extracted: 2025-11-30</t>
      </text>
    </comment>
    <comment ref="C712" authorId="0" shapeId="0">
      <text>
        <t>Source: Meiborg_Debt_Schedule_202511.xlsx
Extracted: 2025-11-30</t>
      </text>
    </comment>
    <comment ref="C713" authorId="0" shapeId="0">
      <text>
        <t>Driver: Standard amortizing equipment loan.
Derived from: Paccar Financial equipment financing.</t>
      </text>
    </comment>
    <comment ref="D717" authorId="0" shapeId="0">
      <text>
        <t>Loan: Paccar Financial, 2 T680 (June 2023). Source: Meiborg_Debt_Schedule_202511.xlsx</t>
      </text>
    </comment>
    <comment ref="D718" authorId="0" shapeId="0">
      <text>
        <t>Sum of rows 717-717: Interest payments</t>
      </text>
    </comment>
    <comment ref="E718" authorId="0" shapeId="0">
      <text>
        <t>Sum of rows 717-717: Principal payments</t>
      </text>
    </comment>
    <comment ref="C721" authorId="0" shapeId="0">
      <text>
        <t>Source: Meiborg_Debt_Schedule_202511.xlsx
Extracted: 2025-11-30</t>
      </text>
    </comment>
    <comment ref="C722" authorId="0" shapeId="0">
      <text>
        <t>Source: Meiborg_Debt_Schedule_202511.xlsx
Extracted: 2025-11-30</t>
      </text>
    </comment>
    <comment ref="C723" authorId="0" shapeId="0">
      <text>
        <t>Source: Meiborg_Debt_Schedule_202511.xlsx
Extracted: 2025-11-30</t>
      </text>
    </comment>
    <comment ref="C724" authorId="0" shapeId="0">
      <text>
        <t>Source: Meiborg_Debt_Schedule_202511.xlsx
Extracted: 2025-11-30</t>
      </text>
    </comment>
    <comment ref="C725" authorId="0" shapeId="0">
      <text>
        <t>Source: Meiborg_Debt_Schedule_202511.xlsx
Extracted: 2025-11-30</t>
      </text>
    </comment>
    <comment ref="C726" authorId="0" shapeId="0">
      <text>
        <t>Source: Meiborg_Debt_Schedule_202511.xlsx
Extracted: 2025-11-30</t>
      </text>
    </comment>
    <comment ref="C727" authorId="0" shapeId="0">
      <text>
        <t>Source: Meiborg_Debt_Schedule_202511.xlsx
Extracted: 2025-11-30</t>
      </text>
    </comment>
    <comment ref="C728" authorId="0" shapeId="0">
      <text>
        <t>Source: Meiborg_Debt_Schedule_202511.xlsx
Extracted: 2025-11-30</t>
      </text>
    </comment>
    <comment ref="C729" authorId="0" shapeId="0">
      <text>
        <t>Driver: Standard amortizing equipment loan.
Derived from: Paccar Financial equipment financing.</t>
      </text>
    </comment>
    <comment ref="D733" authorId="0" shapeId="0">
      <text>
        <t>Loan: Paccar Financial, 7 T680 (Jan 2024). Source: Meiborg_Debt_Schedule_202511.xlsx</t>
      </text>
    </comment>
    <comment ref="D734" authorId="0" shapeId="0">
      <text>
        <t>Loan: Paccar Financial, 7 T680 (Jan 2024). Source: Meiborg_Debt_Schedule_202511.xlsx</t>
      </text>
    </comment>
    <comment ref="D735" authorId="0" shapeId="0">
      <text>
        <t>Loan: Paccar Financial, 7 T680 (Jan 2024). Source: Meiborg_Debt_Schedule_202511.xlsx</t>
      </text>
    </comment>
    <comment ref="D736" authorId="0" shapeId="0">
      <text>
        <t>Loan: Paccar Financial, 7 T680 (Jan 2024). Source: Meiborg_Debt_Schedule_202511.xlsx</t>
      </text>
    </comment>
    <comment ref="D737" authorId="0" shapeId="0">
      <text>
        <t>Loan: Paccar Financial, 7 T680 (Jan 2024). Source: Meiborg_Debt_Schedule_202511.xlsx</t>
      </text>
    </comment>
    <comment ref="D738" authorId="0" shapeId="0">
      <text>
        <t>Loan: Paccar Financial, 7 T680 (Jan 2024). Source: Meiborg_Debt_Schedule_202511.xlsx</t>
      </text>
    </comment>
    <comment ref="D739" authorId="0" shapeId="0">
      <text>
        <t>Loan: Paccar Financial, 7 T680 (Jan 2024). Source: Meiborg_Debt_Schedule_202511.xlsx</t>
      </text>
    </comment>
    <comment ref="D740" authorId="0" shapeId="0">
      <text>
        <t>Loan: Paccar Financial, 7 T680 (Jan 2024). Source: Meiborg_Debt_Schedule_202511.xlsx</t>
      </text>
    </comment>
    <comment ref="D741" authorId="0" shapeId="0">
      <text>
        <t>Loan: Paccar Financial, 7 T680 (Jan 2024). Source: Meiborg_Debt_Schedule_202511.xlsx</t>
      </text>
    </comment>
    <comment ref="D742" authorId="0" shapeId="0">
      <text>
        <t>Loan: Paccar Financial, 7 T680 (Jan 2024). Source: Meiborg_Debt_Schedule_202511.xlsx</t>
      </text>
    </comment>
    <comment ref="D743" authorId="0" shapeId="0">
      <text>
        <t>Loan: Paccar Financial, 7 T680 (Jan 2024). Source: Meiborg_Debt_Schedule_202511.xlsx</t>
      </text>
    </comment>
    <comment ref="D744" authorId="0" shapeId="0">
      <text>
        <t>Loan: Paccar Financial, 7 T680 (Jan 2024). Source: Meiborg_Debt_Schedule_202511.xlsx</t>
      </text>
    </comment>
    <comment ref="D745" authorId="0" shapeId="0">
      <text>
        <t>Loan: Paccar Financial, 7 T680 (Jan 2024). Source: Meiborg_Debt_Schedule_202511.xlsx</t>
      </text>
    </comment>
    <comment ref="D746" authorId="0" shapeId="0">
      <text>
        <t>Loan: Paccar Financial, 7 T680 (Jan 2024). Source: Meiborg_Debt_Schedule_202511.xlsx</t>
      </text>
    </comment>
    <comment ref="D747" authorId="0" shapeId="0">
      <text>
        <t>Loan: Paccar Financial, 7 T680 (Jan 2024). Source: Meiborg_Debt_Schedule_202511.xlsx</t>
      </text>
    </comment>
    <comment ref="D748" authorId="0" shapeId="0">
      <text>
        <t>Loan: Paccar Financial, 7 T680 (Jan 2024). Source: Meiborg_Debt_Schedule_202511.xlsx</t>
      </text>
    </comment>
    <comment ref="D749" authorId="0" shapeId="0">
      <text>
        <t>Loan: Paccar Financial, 7 T680 (Jan 2024). Source: Meiborg_Debt_Schedule_202511.xlsx</t>
      </text>
    </comment>
    <comment ref="D750" authorId="0" shapeId="0">
      <text>
        <t>Loan: Paccar Financial, 7 T680 (Jan 2024). Source: Meiborg_Debt_Schedule_202511.xlsx</t>
      </text>
    </comment>
    <comment ref="D751" authorId="0" shapeId="0">
      <text>
        <t>Loan: Paccar Financial, 7 T680 (Jan 2024). Source: Meiborg_Debt_Schedule_202511.xlsx</t>
      </text>
    </comment>
    <comment ref="D752" authorId="0" shapeId="0">
      <text>
        <t>Loan: Paccar Financial, 7 T680 (Jan 2024). Source: Meiborg_Debt_Schedule_202511.xlsx</t>
      </text>
    </comment>
    <comment ref="D753" authorId="0" shapeId="0">
      <text>
        <t>Loan: Paccar Financial, 7 T680 (Jan 2024). Source: Meiborg_Debt_Schedule_202511.xlsx</t>
      </text>
    </comment>
    <comment ref="D754" authorId="0" shapeId="0">
      <text>
        <t>Loan: Paccar Financial, 7 T680 (Jan 2024). Source: Meiborg_Debt_Schedule_202511.xlsx</t>
      </text>
    </comment>
    <comment ref="D755" authorId="0" shapeId="0">
      <text>
        <t>Loan: Paccar Financial, 7 T680 (Jan 2024). Source: Meiborg_Debt_Schedule_202511.xlsx</t>
      </text>
    </comment>
    <comment ref="D756" authorId="0" shapeId="0">
      <text>
        <t>Loan: Paccar Financial, 7 T680 (Jan 2024). Source: Meiborg_Debt_Schedule_202511.xlsx</t>
      </text>
    </comment>
    <comment ref="D757" authorId="0" shapeId="0">
      <text>
        <t>Loan: Paccar Financial, 7 T680 (Jan 2024). Source: Meiborg_Debt_Schedule_202511.xlsx</t>
      </text>
    </comment>
    <comment ref="D758" authorId="0" shapeId="0">
      <text>
        <t>Loan: Paccar Financial, 7 T680 (Jan 2024). Source: Meiborg_Debt_Schedule_202511.xlsx</t>
      </text>
    </comment>
    <comment ref="D759" authorId="0" shapeId="0">
      <text>
        <t>Loan: Paccar Financial, 7 T680 (Jan 2024). Source: Meiborg_Debt_Schedule_202511.xlsx</t>
      </text>
    </comment>
    <comment ref="D760" authorId="0" shapeId="0">
      <text>
        <t>Loan: Paccar Financial, 7 T680 (Jan 2024). Source: Meiborg_Debt_Schedule_202511.xlsx</t>
      </text>
    </comment>
    <comment ref="D761" authorId="0" shapeId="0">
      <text>
        <t>Loan: Paccar Financial, 7 T680 (Jan 2024). Source: Meiborg_Debt_Schedule_202511.xlsx</t>
      </text>
    </comment>
    <comment ref="D762" authorId="0" shapeId="0">
      <text>
        <t>Loan: Paccar Financial, 7 T680 (Jan 2024). Source: Meiborg_Debt_Schedule_202511.xlsx</t>
      </text>
    </comment>
    <comment ref="D763" authorId="0" shapeId="0">
      <text>
        <t>Loan: Paccar Financial, 7 T680 (Jan 2024). Source: Meiborg_Debt_Schedule_202511.xlsx</t>
      </text>
    </comment>
    <comment ref="D764" authorId="0" shapeId="0">
      <text>
        <t>Loan: Paccar Financial, 7 T680 (Jan 2024). Source: Meiborg_Debt_Schedule_202511.xlsx</t>
      </text>
    </comment>
    <comment ref="D765" authorId="0" shapeId="0">
      <text>
        <t>Loan: Paccar Financial, 7 T680 (Jan 2024). Source: Meiborg_Debt_Schedule_202511.xlsx</t>
      </text>
    </comment>
    <comment ref="D766" authorId="0" shapeId="0">
      <text>
        <t>Loan: Paccar Financial, 7 T680 (Jan 2024). Source: Meiborg_Debt_Schedule_202511.xlsx</t>
      </text>
    </comment>
    <comment ref="D767" authorId="0" shapeId="0">
      <text>
        <t>Loan: Paccar Financial, 7 T680 (Jan 2024). Source: Meiborg_Debt_Schedule_202511.xlsx</t>
      </text>
    </comment>
    <comment ref="D768" authorId="0" shapeId="0">
      <text>
        <t>Loan: Paccar Financial, 7 T680 (Jan 2024). Source: Meiborg_Debt_Schedule_202511.xlsx</t>
      </text>
    </comment>
    <comment ref="D769" authorId="0" shapeId="0">
      <text>
        <t>Loan: Paccar Financial, 7 T680 (Jan 2024). Source: Meiborg_Debt_Schedule_202511.xlsx</t>
      </text>
    </comment>
    <comment ref="D770" authorId="0" shapeId="0">
      <text>
        <t>Loan: Paccar Financial, 7 T680 (Jan 2024). Source: Meiborg_Debt_Schedule_202511.xlsx</t>
      </text>
    </comment>
    <comment ref="D771" authorId="0" shapeId="0">
      <text>
        <t>Loan: Paccar Financial, 7 T680 (Jan 2024). Source: Meiborg_Debt_Schedule_202511.xlsx</t>
      </text>
    </comment>
    <comment ref="D772" authorId="0" shapeId="0">
      <text>
        <t>Loan: Paccar Financial, 7 T680 (Jan 2024). Source: Meiborg_Debt_Schedule_202511.xlsx</t>
      </text>
    </comment>
    <comment ref="D773" authorId="0" shapeId="0">
      <text>
        <t>Loan: Paccar Financial, 7 T680 (Jan 2024). Source: Meiborg_Debt_Schedule_202511.xlsx</t>
      </text>
    </comment>
    <comment ref="D774" authorId="0" shapeId="0">
      <text>
        <t>Loan: Paccar Financial, 7 T680 (Jan 2024). Source: Meiborg_Debt_Schedule_202511.xlsx</t>
      </text>
    </comment>
    <comment ref="D775" authorId="0" shapeId="0">
      <text>
        <t>Loan: Paccar Financial, 7 T680 (Jan 2024). Source: Meiborg_Debt_Schedule_202511.xlsx</t>
      </text>
    </comment>
    <comment ref="D776" authorId="0" shapeId="0">
      <text>
        <t>Loan: Paccar Financial, 7 T680 (Jan 2024). Source: Meiborg_Debt_Schedule_202511.xlsx</t>
      </text>
    </comment>
    <comment ref="D777" authorId="0" shapeId="0">
      <text>
        <t>Loan: Paccar Financial, 7 T680 (Jan 2024). Source: Meiborg_Debt_Schedule_202511.xlsx</t>
      </text>
    </comment>
    <comment ref="D778" authorId="0" shapeId="0">
      <text>
        <t>Loan: Paccar Financial, 7 T680 (Jan 2024). Source: Meiborg_Debt_Schedule_202511.xlsx</t>
      </text>
    </comment>
    <comment ref="D779" authorId="0" shapeId="0">
      <text>
        <t>Loan: Paccar Financial, 7 T680 (Jan 2024). Source: Meiborg_Debt_Schedule_202511.xlsx</t>
      </text>
    </comment>
    <comment ref="D780" authorId="0" shapeId="0">
      <text>
        <t>Loan: Paccar Financial, 7 T680 (Jan 2024). Source: Meiborg_Debt_Schedule_202511.xlsx</t>
      </text>
    </comment>
    <comment ref="D781" authorId="0" shapeId="0">
      <text>
        <t>Sum of rows 733-780: Interest payments</t>
      </text>
    </comment>
    <comment ref="E781" authorId="0" shapeId="0">
      <text>
        <t>Sum of rows 733-780: Principal payments</t>
      </text>
    </comment>
    <comment ref="C784" authorId="0" shapeId="0">
      <text>
        <t>Source: Meiborg_Debt_Schedule_202511.xlsx
Extracted: 2025-11-30</t>
      </text>
    </comment>
    <comment ref="C785" authorId="0" shapeId="0">
      <text>
        <t>Source: Meiborg_Debt_Schedule_202511.xlsx
Extracted: 2025-11-30</t>
      </text>
    </comment>
    <comment ref="C786" authorId="0" shapeId="0">
      <text>
        <t>Source: Meiborg_Debt_Schedule_202511.xlsx
Extracted: 2025-11-30</t>
      </text>
    </comment>
    <comment ref="C787" authorId="0" shapeId="0">
      <text>
        <t>Source: Meiborg_Debt_Schedule_202511.xlsx
Extracted: 2025-11-30</t>
      </text>
    </comment>
    <comment ref="C788" authorId="0" shapeId="0">
      <text>
        <t>Source: Meiborg_Debt_Schedule_202511.xlsx
Extracted: 2025-11-30</t>
      </text>
    </comment>
    <comment ref="C789" authorId="0" shapeId="0">
      <text>
        <t>Source: Meiborg_Debt_Schedule_202511.xlsx
Extracted: 2025-11-30</t>
      </text>
    </comment>
    <comment ref="C790" authorId="0" shapeId="0">
      <text>
        <t>Source: Meiborg_Debt_Schedule_202511.xlsx
Extracted: 2025-11-30</t>
      </text>
    </comment>
    <comment ref="C791" authorId="0" shapeId="0">
      <text>
        <t>Source: Meiborg_Debt_Schedule_202511.xlsx
Extracted: 2025-11-30</t>
      </text>
    </comment>
    <comment ref="C792" authorId="0" shapeId="0">
      <text>
        <t>Driver: Standard amortizing equipment loan.
Derived from: Paccar Financial equipment financing.</t>
      </text>
    </comment>
    <comment ref="D796" authorId="0" shapeId="0">
      <text>
        <t>Loan: Paccar Financial, 5 Peterbilt 579 (Jan 2024). Source: Meiborg_Debt_Schedule_202511.xlsx</t>
      </text>
    </comment>
    <comment ref="D797" authorId="0" shapeId="0">
      <text>
        <t>Loan: Paccar Financial, 5 Peterbilt 579 (Jan 2024). Source: Meiborg_Debt_Schedule_202511.xlsx</t>
      </text>
    </comment>
    <comment ref="D798" authorId="0" shapeId="0">
      <text>
        <t>Loan: Paccar Financial, 5 Peterbilt 579 (Jan 2024). Source: Meiborg_Debt_Schedule_202511.xlsx</t>
      </text>
    </comment>
    <comment ref="D799" authorId="0" shapeId="0">
      <text>
        <t>Loan: Paccar Financial, 5 Peterbilt 579 (Jan 2024). Source: Meiborg_Debt_Schedule_202511.xlsx</t>
      </text>
    </comment>
    <comment ref="D800" authorId="0" shapeId="0">
      <text>
        <t>Loan: Paccar Financial, 5 Peterbilt 579 (Jan 2024). Source: Meiborg_Debt_Schedule_202511.xlsx</t>
      </text>
    </comment>
    <comment ref="D801" authorId="0" shapeId="0">
      <text>
        <t>Loan: Paccar Financial, 5 Peterbilt 579 (Jan 2024). Source: Meiborg_Debt_Schedule_202511.xlsx</t>
      </text>
    </comment>
    <comment ref="D802" authorId="0" shapeId="0">
      <text>
        <t>Loan: Paccar Financial, 5 Peterbilt 579 (Jan 2024). Source: Meiborg_Debt_Schedule_202511.xlsx</t>
      </text>
    </comment>
    <comment ref="D803" authorId="0" shapeId="0">
      <text>
        <t>Loan: Paccar Financial, 5 Peterbilt 579 (Jan 2024). Source: Meiborg_Debt_Schedule_202511.xlsx</t>
      </text>
    </comment>
    <comment ref="D804" authorId="0" shapeId="0">
      <text>
        <t>Loan: Paccar Financial, 5 Peterbilt 579 (Jan 2024). Source: Meiborg_Debt_Schedule_202511.xlsx</t>
      </text>
    </comment>
    <comment ref="D805" authorId="0" shapeId="0">
      <text>
        <t>Loan: Paccar Financial, 5 Peterbilt 579 (Jan 2024). Source: Meiborg_Debt_Schedule_202511.xlsx</t>
      </text>
    </comment>
    <comment ref="D806" authorId="0" shapeId="0">
      <text>
        <t>Loan: Paccar Financial, 5 Peterbilt 579 (Jan 2024). Source: Meiborg_Debt_Schedule_202511.xlsx</t>
      </text>
    </comment>
    <comment ref="D807" authorId="0" shapeId="0">
      <text>
        <t>Loan: Paccar Financial, 5 Peterbilt 579 (Jan 2024). Source: Meiborg_Debt_Schedule_202511.xlsx</t>
      </text>
    </comment>
    <comment ref="D808" authorId="0" shapeId="0">
      <text>
        <t>Loan: Paccar Financial, 5 Peterbilt 579 (Jan 2024). Source: Meiborg_Debt_Schedule_202511.xlsx</t>
      </text>
    </comment>
    <comment ref="D809" authorId="0" shapeId="0">
      <text>
        <t>Loan: Paccar Financial, 5 Peterbilt 579 (Jan 2024). Source: Meiborg_Debt_Schedule_202511.xlsx</t>
      </text>
    </comment>
    <comment ref="D810" authorId="0" shapeId="0">
      <text>
        <t>Loan: Paccar Financial, 5 Peterbilt 579 (Jan 2024). Source: Meiborg_Debt_Schedule_202511.xlsx</t>
      </text>
    </comment>
    <comment ref="D811" authorId="0" shapeId="0">
      <text>
        <t>Loan: Paccar Financial, 5 Peterbilt 579 (Jan 2024). Source: Meiborg_Debt_Schedule_202511.xlsx</t>
      </text>
    </comment>
    <comment ref="D812" authorId="0" shapeId="0">
      <text>
        <t>Loan: Paccar Financial, 5 Peterbilt 579 (Jan 2024). Source: Meiborg_Debt_Schedule_202511.xlsx</t>
      </text>
    </comment>
    <comment ref="D813" authorId="0" shapeId="0">
      <text>
        <t>Loan: Paccar Financial, 5 Peterbilt 579 (Jan 2024). Source: Meiborg_Debt_Schedule_202511.xlsx</t>
      </text>
    </comment>
    <comment ref="D814" authorId="0" shapeId="0">
      <text>
        <t>Loan: Paccar Financial, 5 Peterbilt 579 (Jan 2024). Source: Meiborg_Debt_Schedule_202511.xlsx</t>
      </text>
    </comment>
    <comment ref="D815" authorId="0" shapeId="0">
      <text>
        <t>Loan: Paccar Financial, 5 Peterbilt 579 (Jan 2024). Source: Meiborg_Debt_Schedule_202511.xlsx</t>
      </text>
    </comment>
    <comment ref="D816" authorId="0" shapeId="0">
      <text>
        <t>Loan: Paccar Financial, 5 Peterbilt 579 (Jan 2024). Source: Meiborg_Debt_Schedule_202511.xlsx</t>
      </text>
    </comment>
    <comment ref="D817" authorId="0" shapeId="0">
      <text>
        <t>Loan: Paccar Financial, 5 Peterbilt 579 (Jan 2024). Source: Meiborg_Debt_Schedule_202511.xlsx</t>
      </text>
    </comment>
    <comment ref="D818" authorId="0" shapeId="0">
      <text>
        <t>Loan: Paccar Financial, 5 Peterbilt 579 (Jan 2024). Source: Meiborg_Debt_Schedule_202511.xlsx</t>
      </text>
    </comment>
    <comment ref="D819" authorId="0" shapeId="0">
      <text>
        <t>Loan: Paccar Financial, 5 Peterbilt 579 (Jan 2024). Source: Meiborg_Debt_Schedule_202511.xlsx</t>
      </text>
    </comment>
    <comment ref="D820" authorId="0" shapeId="0">
      <text>
        <t>Loan: Paccar Financial, 5 Peterbilt 579 (Jan 2024). Source: Meiborg_Debt_Schedule_202511.xlsx</t>
      </text>
    </comment>
    <comment ref="D821" authorId="0" shapeId="0">
      <text>
        <t>Loan: Paccar Financial, 5 Peterbilt 579 (Jan 2024). Source: Meiborg_Debt_Schedule_202511.xlsx</t>
      </text>
    </comment>
    <comment ref="D822" authorId="0" shapeId="0">
      <text>
        <t>Loan: Paccar Financial, 5 Peterbilt 579 (Jan 2024). Source: Meiborg_Debt_Schedule_202511.xlsx</t>
      </text>
    </comment>
    <comment ref="D823" authorId="0" shapeId="0">
      <text>
        <t>Loan: Paccar Financial, 5 Peterbilt 579 (Jan 2024). Source: Meiborg_Debt_Schedule_202511.xlsx</t>
      </text>
    </comment>
    <comment ref="D824" authorId="0" shapeId="0">
      <text>
        <t>Loan: Paccar Financial, 5 Peterbilt 579 (Jan 2024). Source: Meiborg_Debt_Schedule_202511.xlsx</t>
      </text>
    </comment>
    <comment ref="D825" authorId="0" shapeId="0">
      <text>
        <t>Loan: Paccar Financial, 5 Peterbilt 579 (Jan 2024). Source: Meiborg_Debt_Schedule_202511.xlsx</t>
      </text>
    </comment>
    <comment ref="D826" authorId="0" shapeId="0">
      <text>
        <t>Loan: Paccar Financial, 5 Peterbilt 579 (Jan 2024). Source: Meiborg_Debt_Schedule_202511.xlsx</t>
      </text>
    </comment>
    <comment ref="D827" authorId="0" shapeId="0">
      <text>
        <t>Loan: Paccar Financial, 5 Peterbilt 579 (Jan 2024). Source: Meiborg_Debt_Schedule_202511.xlsx</t>
      </text>
    </comment>
    <comment ref="D828" authorId="0" shapeId="0">
      <text>
        <t>Loan: Paccar Financial, 5 Peterbilt 579 (Jan 2024). Source: Meiborg_Debt_Schedule_202511.xlsx</t>
      </text>
    </comment>
    <comment ref="D829" authorId="0" shapeId="0">
      <text>
        <t>Loan: Paccar Financial, 5 Peterbilt 579 (Jan 2024). Source: Meiborg_Debt_Schedule_202511.xlsx</t>
      </text>
    </comment>
    <comment ref="D830" authorId="0" shapeId="0">
      <text>
        <t>Loan: Paccar Financial, 5 Peterbilt 579 (Jan 2024). Source: Meiborg_Debt_Schedule_202511.xlsx</t>
      </text>
    </comment>
    <comment ref="D831" authorId="0" shapeId="0">
      <text>
        <t>Loan: Paccar Financial, 5 Peterbilt 579 (Jan 2024). Source: Meiborg_Debt_Schedule_202511.xlsx</t>
      </text>
    </comment>
    <comment ref="D832" authorId="0" shapeId="0">
      <text>
        <t>Loan: Paccar Financial, 5 Peterbilt 579 (Jan 2024). Source: Meiborg_Debt_Schedule_202511.xlsx</t>
      </text>
    </comment>
    <comment ref="D833" authorId="0" shapeId="0">
      <text>
        <t>Loan: Paccar Financial, 5 Peterbilt 579 (Jan 2024). Source: Meiborg_Debt_Schedule_202511.xlsx</t>
      </text>
    </comment>
    <comment ref="D834" authorId="0" shapeId="0">
      <text>
        <t>Loan: Paccar Financial, 5 Peterbilt 579 (Jan 2024). Source: Meiborg_Debt_Schedule_202511.xlsx</t>
      </text>
    </comment>
    <comment ref="D835" authorId="0" shapeId="0">
      <text>
        <t>Loan: Paccar Financial, 5 Peterbilt 579 (Jan 2024). Source: Meiborg_Debt_Schedule_202511.xlsx</t>
      </text>
    </comment>
    <comment ref="D836" authorId="0" shapeId="0">
      <text>
        <t>Loan: Paccar Financial, 5 Peterbilt 579 (Jan 2024). Source: Meiborg_Debt_Schedule_202511.xlsx</t>
      </text>
    </comment>
    <comment ref="D837" authorId="0" shapeId="0">
      <text>
        <t>Loan: Paccar Financial, 5 Peterbilt 579 (Jan 2024). Source: Meiborg_Debt_Schedule_202511.xlsx</t>
      </text>
    </comment>
    <comment ref="D838" authorId="0" shapeId="0">
      <text>
        <t>Loan: Paccar Financial, 5 Peterbilt 579 (Jan 2024). Source: Meiborg_Debt_Schedule_202511.xlsx</t>
      </text>
    </comment>
    <comment ref="D839" authorId="0" shapeId="0">
      <text>
        <t>Loan: Paccar Financial, 5 Peterbilt 579 (Jan 2024). Source: Meiborg_Debt_Schedule_202511.xlsx</t>
      </text>
    </comment>
    <comment ref="D840" authorId="0" shapeId="0">
      <text>
        <t>Loan: Paccar Financial, 5 Peterbilt 579 (Jan 2024). Source: Meiborg_Debt_Schedule_202511.xlsx</t>
      </text>
    </comment>
    <comment ref="D841" authorId="0" shapeId="0">
      <text>
        <t>Loan: Paccar Financial, 5 Peterbilt 579 (Jan 2024). Source: Meiborg_Debt_Schedule_202511.xlsx</t>
      </text>
    </comment>
    <comment ref="D842" authorId="0" shapeId="0">
      <text>
        <t>Loan: Paccar Financial, 5 Peterbilt 579 (Jan 2024). Source: Meiborg_Debt_Schedule_202511.xlsx</t>
      </text>
    </comment>
    <comment ref="D843" authorId="0" shapeId="0">
      <text>
        <t>Loan: Paccar Financial, 5 Peterbilt 579 (Jan 2024). Source: Meiborg_Debt_Schedule_202511.xlsx</t>
      </text>
    </comment>
    <comment ref="D844" authorId="0" shapeId="0">
      <text>
        <t>Sum of rows 796-843: Interest payments</t>
      </text>
    </comment>
    <comment ref="E844" authorId="0" shapeId="0">
      <text>
        <t>Sum of rows 796-843: Principal payments</t>
      </text>
    </comment>
    <comment ref="C847" authorId="0" shapeId="0">
      <text>
        <t>Source: Meiborg_Debt_Schedule_202511.xlsx
Extracted: 2025-11-30</t>
      </text>
    </comment>
    <comment ref="C848" authorId="0" shapeId="0">
      <text>
        <t>Source: Meiborg_Debt_Schedule_202511.xlsx
Extracted: 2025-11-30</t>
      </text>
    </comment>
    <comment ref="C849" authorId="0" shapeId="0">
      <text>
        <t>Source: Meiborg_Debt_Schedule_202511.xlsx
Extracted: 2025-11-30</t>
      </text>
    </comment>
    <comment ref="C850" authorId="0" shapeId="0">
      <text>
        <t>Source: Meiborg_Debt_Schedule_202511.xlsx
Extracted: 2025-11-30</t>
      </text>
    </comment>
    <comment ref="C851" authorId="0" shapeId="0">
      <text>
        <t>Source: Meiborg_Debt_Schedule_202511.xlsx
Extracted: 2025-11-30</t>
      </text>
    </comment>
    <comment ref="C852" authorId="0" shapeId="0">
      <text>
        <t>Source: Meiborg_Debt_Schedule_202511.xlsx
Extracted: 2025-11-30</t>
      </text>
    </comment>
    <comment ref="C853" authorId="0" shapeId="0">
      <text>
        <t>Source: Meiborg_Debt_Schedule_202511.xlsx
Extracted: 2025-11-30</t>
      </text>
    </comment>
    <comment ref="C854" authorId="0" shapeId="0">
      <text>
        <t>Source: Meiborg_Debt_Schedule_202511.xlsx
Extracted: 2025-11-30</t>
      </text>
    </comment>
    <comment ref="C855" authorId="0" shapeId="0">
      <text>
        <t>Driver: Standard amortizing equipment loan.
Derived from: Paccar Financial equipment financing.</t>
      </text>
    </comment>
    <comment ref="D859" authorId="0" shapeId="0">
      <text>
        <t>Loan: Paccar Financial, 8 T680 (Feb 2024). Source: Meiborg_Debt_Schedule_202511.xlsx</t>
      </text>
    </comment>
    <comment ref="D860" authorId="0" shapeId="0">
      <text>
        <t>Loan: Paccar Financial, 8 T680 (Feb 2024). Source: Meiborg_Debt_Schedule_202511.xlsx</t>
      </text>
    </comment>
    <comment ref="D861" authorId="0" shapeId="0">
      <text>
        <t>Loan: Paccar Financial, 8 T680 (Feb 2024). Source: Meiborg_Debt_Schedule_202511.xlsx</t>
      </text>
    </comment>
    <comment ref="D862" authorId="0" shapeId="0">
      <text>
        <t>Loan: Paccar Financial, 8 T680 (Feb 2024). Source: Meiborg_Debt_Schedule_202511.xlsx</t>
      </text>
    </comment>
    <comment ref="D863" authorId="0" shapeId="0">
      <text>
        <t>Loan: Paccar Financial, 8 T680 (Feb 2024). Source: Meiborg_Debt_Schedule_202511.xlsx</t>
      </text>
    </comment>
    <comment ref="D864" authorId="0" shapeId="0">
      <text>
        <t>Loan: Paccar Financial, 8 T680 (Feb 2024). Source: Meiborg_Debt_Schedule_202511.xlsx</t>
      </text>
    </comment>
    <comment ref="D865" authorId="0" shapeId="0">
      <text>
        <t>Loan: Paccar Financial, 8 T680 (Feb 2024). Source: Meiborg_Debt_Schedule_202511.xlsx</t>
      </text>
    </comment>
    <comment ref="D866" authorId="0" shapeId="0">
      <text>
        <t>Loan: Paccar Financial, 8 T680 (Feb 2024). Source: Meiborg_Debt_Schedule_202511.xlsx</t>
      </text>
    </comment>
    <comment ref="D867" authorId="0" shapeId="0">
      <text>
        <t>Loan: Paccar Financial, 8 T680 (Feb 2024). Source: Meiborg_Debt_Schedule_202511.xlsx</t>
      </text>
    </comment>
    <comment ref="D868" authorId="0" shapeId="0">
      <text>
        <t>Loan: Paccar Financial, 8 T680 (Feb 2024). Source: Meiborg_Debt_Schedule_202511.xlsx</t>
      </text>
    </comment>
    <comment ref="D869" authorId="0" shapeId="0">
      <text>
        <t>Loan: Paccar Financial, 8 T680 (Feb 2024). Source: Meiborg_Debt_Schedule_202511.xlsx</t>
      </text>
    </comment>
    <comment ref="D870" authorId="0" shapeId="0">
      <text>
        <t>Loan: Paccar Financial, 8 T680 (Feb 2024). Source: Meiborg_Debt_Schedule_202511.xlsx</t>
      </text>
    </comment>
    <comment ref="D871" authorId="0" shapeId="0">
      <text>
        <t>Loan: Paccar Financial, 8 T680 (Feb 2024). Source: Meiborg_Debt_Schedule_202511.xlsx</t>
      </text>
    </comment>
    <comment ref="D872" authorId="0" shapeId="0">
      <text>
        <t>Loan: Paccar Financial, 8 T680 (Feb 2024). Source: Meiborg_Debt_Schedule_202511.xlsx</t>
      </text>
    </comment>
    <comment ref="D873" authorId="0" shapeId="0">
      <text>
        <t>Loan: Paccar Financial, 8 T680 (Feb 2024). Source: Meiborg_Debt_Schedule_202511.xlsx</t>
      </text>
    </comment>
    <comment ref="D874" authorId="0" shapeId="0">
      <text>
        <t>Loan: Paccar Financial, 8 T680 (Feb 2024). Source: Meiborg_Debt_Schedule_202511.xlsx</t>
      </text>
    </comment>
    <comment ref="D875" authorId="0" shapeId="0">
      <text>
        <t>Loan: Paccar Financial, 8 T680 (Feb 2024). Source: Meiborg_Debt_Schedule_202511.xlsx</t>
      </text>
    </comment>
    <comment ref="D876" authorId="0" shapeId="0">
      <text>
        <t>Loan: Paccar Financial, 8 T680 (Feb 2024). Source: Meiborg_Debt_Schedule_202511.xlsx</t>
      </text>
    </comment>
    <comment ref="D877" authorId="0" shapeId="0">
      <text>
        <t>Loan: Paccar Financial, 8 T680 (Feb 2024). Source: Meiborg_Debt_Schedule_202511.xlsx</t>
      </text>
    </comment>
    <comment ref="D878" authorId="0" shapeId="0">
      <text>
        <t>Loan: Paccar Financial, 8 T680 (Feb 2024). Source: Meiborg_Debt_Schedule_202511.xlsx</t>
      </text>
    </comment>
    <comment ref="D879" authorId="0" shapeId="0">
      <text>
        <t>Loan: Paccar Financial, 8 T680 (Feb 2024). Source: Meiborg_Debt_Schedule_202511.xlsx</t>
      </text>
    </comment>
    <comment ref="D880" authorId="0" shapeId="0">
      <text>
        <t>Loan: Paccar Financial, 8 T680 (Feb 2024). Source: Meiborg_Debt_Schedule_202511.xlsx</t>
      </text>
    </comment>
    <comment ref="D881" authorId="0" shapeId="0">
      <text>
        <t>Loan: Paccar Financial, 8 T680 (Feb 2024). Source: Meiborg_Debt_Schedule_202511.xlsx</t>
      </text>
    </comment>
    <comment ref="D882" authorId="0" shapeId="0">
      <text>
        <t>Loan: Paccar Financial, 8 T680 (Feb 2024). Source: Meiborg_Debt_Schedule_202511.xlsx</t>
      </text>
    </comment>
    <comment ref="D883" authorId="0" shapeId="0">
      <text>
        <t>Loan: Paccar Financial, 8 T680 (Feb 2024). Source: Meiborg_Debt_Schedule_202511.xlsx</t>
      </text>
    </comment>
    <comment ref="D884" authorId="0" shapeId="0">
      <text>
        <t>Loan: Paccar Financial, 8 T680 (Feb 2024). Source: Meiborg_Debt_Schedule_202511.xlsx</t>
      </text>
    </comment>
    <comment ref="D885" authorId="0" shapeId="0">
      <text>
        <t>Loan: Paccar Financial, 8 T680 (Feb 2024). Source: Meiborg_Debt_Schedule_202511.xlsx</t>
      </text>
    </comment>
    <comment ref="D886" authorId="0" shapeId="0">
      <text>
        <t>Loan: Paccar Financial, 8 T680 (Feb 2024). Source: Meiborg_Debt_Schedule_202511.xlsx</t>
      </text>
    </comment>
    <comment ref="D887" authorId="0" shapeId="0">
      <text>
        <t>Loan: Paccar Financial, 8 T680 (Feb 2024). Source: Meiborg_Debt_Schedule_202511.xlsx</t>
      </text>
    </comment>
    <comment ref="D888" authorId="0" shapeId="0">
      <text>
        <t>Loan: Paccar Financial, 8 T680 (Feb 2024). Source: Meiborg_Debt_Schedule_202511.xlsx</t>
      </text>
    </comment>
    <comment ref="D889" authorId="0" shapeId="0">
      <text>
        <t>Loan: Paccar Financial, 8 T680 (Feb 2024). Source: Meiborg_Debt_Schedule_202511.xlsx</t>
      </text>
    </comment>
    <comment ref="D890" authorId="0" shapeId="0">
      <text>
        <t>Loan: Paccar Financial, 8 T680 (Feb 2024). Source: Meiborg_Debt_Schedule_202511.xlsx</t>
      </text>
    </comment>
    <comment ref="D891" authorId="0" shapeId="0">
      <text>
        <t>Loan: Paccar Financial, 8 T680 (Feb 2024). Source: Meiborg_Debt_Schedule_202511.xlsx</t>
      </text>
    </comment>
    <comment ref="D892" authorId="0" shapeId="0">
      <text>
        <t>Loan: Paccar Financial, 8 T680 (Feb 2024). Source: Meiborg_Debt_Schedule_202511.xlsx</t>
      </text>
    </comment>
    <comment ref="D893" authorId="0" shapeId="0">
      <text>
        <t>Loan: Paccar Financial, 8 T680 (Feb 2024). Source: Meiborg_Debt_Schedule_202511.xlsx</t>
      </text>
    </comment>
    <comment ref="D894" authorId="0" shapeId="0">
      <text>
        <t>Loan: Paccar Financial, 8 T680 (Feb 2024). Source: Meiborg_Debt_Schedule_202511.xlsx</t>
      </text>
    </comment>
    <comment ref="D895" authorId="0" shapeId="0">
      <text>
        <t>Loan: Paccar Financial, 8 T680 (Feb 2024). Source: Meiborg_Debt_Schedule_202511.xlsx</t>
      </text>
    </comment>
    <comment ref="D896" authorId="0" shapeId="0">
      <text>
        <t>Loan: Paccar Financial, 8 T680 (Feb 2024). Source: Meiborg_Debt_Schedule_202511.xlsx</t>
      </text>
    </comment>
    <comment ref="D897" authorId="0" shapeId="0">
      <text>
        <t>Loan: Paccar Financial, 8 T680 (Feb 2024). Source: Meiborg_Debt_Schedule_202511.xlsx</t>
      </text>
    </comment>
    <comment ref="D898" authorId="0" shapeId="0">
      <text>
        <t>Loan: Paccar Financial, 8 T680 (Feb 2024). Source: Meiborg_Debt_Schedule_202511.xlsx</t>
      </text>
    </comment>
    <comment ref="D899" authorId="0" shapeId="0">
      <text>
        <t>Loan: Paccar Financial, 8 T680 (Feb 2024). Source: Meiborg_Debt_Schedule_202511.xlsx</t>
      </text>
    </comment>
    <comment ref="D900" authorId="0" shapeId="0">
      <text>
        <t>Loan: Paccar Financial, 8 T680 (Feb 2024). Source: Meiborg_Debt_Schedule_202511.xlsx</t>
      </text>
    </comment>
    <comment ref="D901" authorId="0" shapeId="0">
      <text>
        <t>Loan: Paccar Financial, 8 T680 (Feb 2024). Source: Meiborg_Debt_Schedule_202511.xlsx</t>
      </text>
    </comment>
    <comment ref="D902" authorId="0" shapeId="0">
      <text>
        <t>Loan: Paccar Financial, 8 T680 (Feb 2024). Source: Meiborg_Debt_Schedule_202511.xlsx</t>
      </text>
    </comment>
    <comment ref="D903" authorId="0" shapeId="0">
      <text>
        <t>Loan: Paccar Financial, 8 T680 (Feb 2024). Source: Meiborg_Debt_Schedule_202511.xlsx</t>
      </text>
    </comment>
    <comment ref="D904" authorId="0" shapeId="0">
      <text>
        <t>Loan: Paccar Financial, 8 T680 (Feb 2024). Source: Meiborg_Debt_Schedule_202511.xlsx</t>
      </text>
    </comment>
    <comment ref="D905" authorId="0" shapeId="0">
      <text>
        <t>Loan: Paccar Financial, 8 T680 (Feb 2024). Source: Meiborg_Debt_Schedule_202511.xlsx</t>
      </text>
    </comment>
    <comment ref="D906" authorId="0" shapeId="0">
      <text>
        <t>Loan: Paccar Financial, 8 T680 (Feb 2024). Source: Meiborg_Debt_Schedule_202511.xlsx</t>
      </text>
    </comment>
    <comment ref="D907" authorId="0" shapeId="0">
      <text>
        <t>Loan: Paccar Financial, 8 T680 (Feb 2024). Source: Meiborg_Debt_Schedule_202511.xlsx</t>
      </text>
    </comment>
    <comment ref="D908" authorId="0" shapeId="0">
      <text>
        <t>Sum of rows 859-907: Interest payments</t>
      </text>
    </comment>
    <comment ref="E908" authorId="0" shapeId="0">
      <text>
        <t>Sum of rows 859-907: Principal payments</t>
      </text>
    </comment>
    <comment ref="C911" authorId="0" shapeId="0">
      <text>
        <t>Source: Meiborg_Debt_Schedule_202511.xlsx
Extracted: 2025-11-30</t>
      </text>
    </comment>
    <comment ref="C912" authorId="0" shapeId="0">
      <text>
        <t>Source: Meiborg_Debt_Schedule_202511.xlsx
Extracted: 2025-11-30</t>
      </text>
    </comment>
    <comment ref="C913" authorId="0" shapeId="0">
      <text>
        <t>Source: Meiborg_Debt_Schedule_202511.xlsx
Extracted: 2025-11-30</t>
      </text>
    </comment>
    <comment ref="C914" authorId="0" shapeId="0">
      <text>
        <t>Source: Meiborg_Debt_Schedule_202511.xlsx
Extracted: 2025-11-30</t>
      </text>
    </comment>
    <comment ref="C915" authorId="0" shapeId="0">
      <text>
        <t>Source: Meiborg_Debt_Schedule_202511.xlsx
Extracted: 2025-11-30</t>
      </text>
    </comment>
    <comment ref="C916" authorId="0" shapeId="0">
      <text>
        <t>Source: Meiborg_Debt_Schedule_202511.xlsx
Extracted: 2025-11-30</t>
      </text>
    </comment>
    <comment ref="C917" authorId="0" shapeId="0">
      <text>
        <t>Source: Meiborg_Debt_Schedule_202511.xlsx
Extracted: 2025-11-30</t>
      </text>
    </comment>
    <comment ref="C918" authorId="0" shapeId="0">
      <text>
        <t>Source: Meiborg_Debt_Schedule_202511.xlsx
Extracted: 2025-11-30</t>
      </text>
    </comment>
    <comment ref="C919" authorId="0" shapeId="0">
      <text>
        <t>Driver: Standard amortizing equipment loan.
Derived from: Paccar Financial equipment financing.</t>
      </text>
    </comment>
    <comment ref="D923" authorId="0" shapeId="0">
      <text>
        <t>Loan: Paccar Financial, 5 Peterbilt 579 (Feb 2024). Source: Meiborg_Debt_Schedule_202511.xlsx</t>
      </text>
    </comment>
    <comment ref="D924" authorId="0" shapeId="0">
      <text>
        <t>Loan: Paccar Financial, 5 Peterbilt 579 (Feb 2024). Source: Meiborg_Debt_Schedule_202511.xlsx</t>
      </text>
    </comment>
    <comment ref="D925" authorId="0" shapeId="0">
      <text>
        <t>Loan: Paccar Financial, 5 Peterbilt 579 (Feb 2024). Source: Meiborg_Debt_Schedule_202511.xlsx</t>
      </text>
    </comment>
    <comment ref="D926" authorId="0" shapeId="0">
      <text>
        <t>Loan: Paccar Financial, 5 Peterbilt 579 (Feb 2024). Source: Meiborg_Debt_Schedule_202511.xlsx</t>
      </text>
    </comment>
    <comment ref="D927" authorId="0" shapeId="0">
      <text>
        <t>Loan: Paccar Financial, 5 Peterbilt 579 (Feb 2024). Source: Meiborg_Debt_Schedule_202511.xlsx</t>
      </text>
    </comment>
    <comment ref="D928" authorId="0" shapeId="0">
      <text>
        <t>Loan: Paccar Financial, 5 Peterbilt 579 (Feb 2024). Source: Meiborg_Debt_Schedule_202511.xlsx</t>
      </text>
    </comment>
    <comment ref="D929" authorId="0" shapeId="0">
      <text>
        <t>Loan: Paccar Financial, 5 Peterbilt 579 (Feb 2024). Source: Meiborg_Debt_Schedule_202511.xlsx</t>
      </text>
    </comment>
    <comment ref="D930" authorId="0" shapeId="0">
      <text>
        <t>Loan: Paccar Financial, 5 Peterbilt 579 (Feb 2024). Source: Meiborg_Debt_Schedule_202511.xlsx</t>
      </text>
    </comment>
    <comment ref="D931" authorId="0" shapeId="0">
      <text>
        <t>Loan: Paccar Financial, 5 Peterbilt 579 (Feb 2024). Source: Meiborg_Debt_Schedule_202511.xlsx</t>
      </text>
    </comment>
    <comment ref="D932" authorId="0" shapeId="0">
      <text>
        <t>Loan: Paccar Financial, 5 Peterbilt 579 (Feb 2024). Source: Meiborg_Debt_Schedule_202511.xlsx</t>
      </text>
    </comment>
    <comment ref="D933" authorId="0" shapeId="0">
      <text>
        <t>Loan: Paccar Financial, 5 Peterbilt 579 (Feb 2024). Source: Meiborg_Debt_Schedule_202511.xlsx</t>
      </text>
    </comment>
    <comment ref="D934" authorId="0" shapeId="0">
      <text>
        <t>Loan: Paccar Financial, 5 Peterbilt 579 (Feb 2024). Source: Meiborg_Debt_Schedule_202511.xlsx</t>
      </text>
    </comment>
    <comment ref="D935" authorId="0" shapeId="0">
      <text>
        <t>Loan: Paccar Financial, 5 Peterbilt 579 (Feb 2024). Source: Meiborg_Debt_Schedule_202511.xlsx</t>
      </text>
    </comment>
    <comment ref="D936" authorId="0" shapeId="0">
      <text>
        <t>Loan: Paccar Financial, 5 Peterbilt 579 (Feb 2024). Source: Meiborg_Debt_Schedule_202511.xlsx</t>
      </text>
    </comment>
    <comment ref="D937" authorId="0" shapeId="0">
      <text>
        <t>Loan: Paccar Financial, 5 Peterbilt 579 (Feb 2024). Source: Meiborg_Debt_Schedule_202511.xlsx</t>
      </text>
    </comment>
    <comment ref="D938" authorId="0" shapeId="0">
      <text>
        <t>Loan: Paccar Financial, 5 Peterbilt 579 (Feb 2024). Source: Meiborg_Debt_Schedule_202511.xlsx</t>
      </text>
    </comment>
    <comment ref="D939" authorId="0" shapeId="0">
      <text>
        <t>Loan: Paccar Financial, 5 Peterbilt 579 (Feb 2024). Source: Meiborg_Debt_Schedule_202511.xlsx</t>
      </text>
    </comment>
    <comment ref="D940" authorId="0" shapeId="0">
      <text>
        <t>Loan: Paccar Financial, 5 Peterbilt 579 (Feb 2024). Source: Meiborg_Debt_Schedule_202511.xlsx</t>
      </text>
    </comment>
    <comment ref="D941" authorId="0" shapeId="0">
      <text>
        <t>Loan: Paccar Financial, 5 Peterbilt 579 (Feb 2024). Source: Meiborg_Debt_Schedule_202511.xlsx</t>
      </text>
    </comment>
    <comment ref="D942" authorId="0" shapeId="0">
      <text>
        <t>Loan: Paccar Financial, 5 Peterbilt 579 (Feb 2024). Source: Meiborg_Debt_Schedule_202511.xlsx</t>
      </text>
    </comment>
    <comment ref="D943" authorId="0" shapeId="0">
      <text>
        <t>Loan: Paccar Financial, 5 Peterbilt 579 (Feb 2024). Source: Meiborg_Debt_Schedule_202511.xlsx</t>
      </text>
    </comment>
    <comment ref="D944" authorId="0" shapeId="0">
      <text>
        <t>Loan: Paccar Financial, 5 Peterbilt 579 (Feb 2024). Source: Meiborg_Debt_Schedule_202511.xlsx</t>
      </text>
    </comment>
    <comment ref="D945" authorId="0" shapeId="0">
      <text>
        <t>Loan: Paccar Financial, 5 Peterbilt 579 (Feb 2024). Source: Meiborg_Debt_Schedule_202511.xlsx</t>
      </text>
    </comment>
    <comment ref="D946" authorId="0" shapeId="0">
      <text>
        <t>Loan: Paccar Financial, 5 Peterbilt 579 (Feb 2024). Source: Meiborg_Debt_Schedule_202511.xlsx</t>
      </text>
    </comment>
    <comment ref="D947" authorId="0" shapeId="0">
      <text>
        <t>Loan: Paccar Financial, 5 Peterbilt 579 (Feb 2024). Source: Meiborg_Debt_Schedule_202511.xlsx</t>
      </text>
    </comment>
    <comment ref="D948" authorId="0" shapeId="0">
      <text>
        <t>Loan: Paccar Financial, 5 Peterbilt 579 (Feb 2024). Source: Meiborg_Debt_Schedule_202511.xlsx</t>
      </text>
    </comment>
    <comment ref="D949" authorId="0" shapeId="0">
      <text>
        <t>Loan: Paccar Financial, 5 Peterbilt 579 (Feb 2024). Source: Meiborg_Debt_Schedule_202511.xlsx</t>
      </text>
    </comment>
    <comment ref="D950" authorId="0" shapeId="0">
      <text>
        <t>Loan: Paccar Financial, 5 Peterbilt 579 (Feb 2024). Source: Meiborg_Debt_Schedule_202511.xlsx</t>
      </text>
    </comment>
    <comment ref="D951" authorId="0" shapeId="0">
      <text>
        <t>Loan: Paccar Financial, 5 Peterbilt 579 (Feb 2024). Source: Meiborg_Debt_Schedule_202511.xlsx</t>
      </text>
    </comment>
    <comment ref="D952" authorId="0" shapeId="0">
      <text>
        <t>Loan: Paccar Financial, 5 Peterbilt 579 (Feb 2024). Source: Meiborg_Debt_Schedule_202511.xlsx</t>
      </text>
    </comment>
    <comment ref="D953" authorId="0" shapeId="0">
      <text>
        <t>Loan: Paccar Financial, 5 Peterbilt 579 (Feb 2024). Source: Meiborg_Debt_Schedule_202511.xlsx</t>
      </text>
    </comment>
    <comment ref="D954" authorId="0" shapeId="0">
      <text>
        <t>Loan: Paccar Financial, 5 Peterbilt 579 (Feb 2024). Source: Meiborg_Debt_Schedule_202511.xlsx</t>
      </text>
    </comment>
    <comment ref="D955" authorId="0" shapeId="0">
      <text>
        <t>Loan: Paccar Financial, 5 Peterbilt 579 (Feb 2024). Source: Meiborg_Debt_Schedule_202511.xlsx</t>
      </text>
    </comment>
    <comment ref="D956" authorId="0" shapeId="0">
      <text>
        <t>Loan: Paccar Financial, 5 Peterbilt 579 (Feb 2024). Source: Meiborg_Debt_Schedule_202511.xlsx</t>
      </text>
    </comment>
    <comment ref="D957" authorId="0" shapeId="0">
      <text>
        <t>Loan: Paccar Financial, 5 Peterbilt 579 (Feb 2024). Source: Meiborg_Debt_Schedule_202511.xlsx</t>
      </text>
    </comment>
    <comment ref="D958" authorId="0" shapeId="0">
      <text>
        <t>Loan: Paccar Financial, 5 Peterbilt 579 (Feb 2024). Source: Meiborg_Debt_Schedule_202511.xlsx</t>
      </text>
    </comment>
    <comment ref="D959" authorId="0" shapeId="0">
      <text>
        <t>Loan: Paccar Financial, 5 Peterbilt 579 (Feb 2024). Source: Meiborg_Debt_Schedule_202511.xlsx</t>
      </text>
    </comment>
    <comment ref="D960" authorId="0" shapeId="0">
      <text>
        <t>Loan: Paccar Financial, 5 Peterbilt 579 (Feb 2024). Source: Meiborg_Debt_Schedule_202511.xlsx</t>
      </text>
    </comment>
    <comment ref="D961" authorId="0" shapeId="0">
      <text>
        <t>Loan: Paccar Financial, 5 Peterbilt 579 (Feb 2024). Source: Meiborg_Debt_Schedule_202511.xlsx</t>
      </text>
    </comment>
    <comment ref="D962" authorId="0" shapeId="0">
      <text>
        <t>Loan: Paccar Financial, 5 Peterbilt 579 (Feb 2024). Source: Meiborg_Debt_Schedule_202511.xlsx</t>
      </text>
    </comment>
    <comment ref="D963" authorId="0" shapeId="0">
      <text>
        <t>Loan: Paccar Financial, 5 Peterbilt 579 (Feb 2024). Source: Meiborg_Debt_Schedule_202511.xlsx</t>
      </text>
    </comment>
    <comment ref="D964" authorId="0" shapeId="0">
      <text>
        <t>Loan: Paccar Financial, 5 Peterbilt 579 (Feb 2024). Source: Meiborg_Debt_Schedule_202511.xlsx</t>
      </text>
    </comment>
    <comment ref="D965" authorId="0" shapeId="0">
      <text>
        <t>Loan: Paccar Financial, 5 Peterbilt 579 (Feb 2024). Source: Meiborg_Debt_Schedule_202511.xlsx</t>
      </text>
    </comment>
    <comment ref="D966" authorId="0" shapeId="0">
      <text>
        <t>Loan: Paccar Financial, 5 Peterbilt 579 (Feb 2024). Source: Meiborg_Debt_Schedule_202511.xlsx</t>
      </text>
    </comment>
    <comment ref="D967" authorId="0" shapeId="0">
      <text>
        <t>Loan: Paccar Financial, 5 Peterbilt 579 (Feb 2024). Source: Meiborg_Debt_Schedule_202511.xlsx</t>
      </text>
    </comment>
    <comment ref="D968" authorId="0" shapeId="0">
      <text>
        <t>Loan: Paccar Financial, 5 Peterbilt 579 (Feb 2024). Source: Meiborg_Debt_Schedule_202511.xlsx</t>
      </text>
    </comment>
    <comment ref="D969" authorId="0" shapeId="0">
      <text>
        <t>Loan: Paccar Financial, 5 Peterbilt 579 (Feb 2024). Source: Meiborg_Debt_Schedule_202511.xlsx</t>
      </text>
    </comment>
    <comment ref="D970" authorId="0" shapeId="0">
      <text>
        <t>Loan: Paccar Financial, 5 Peterbilt 579 (Feb 2024). Source: Meiborg_Debt_Schedule_202511.xlsx</t>
      </text>
    </comment>
    <comment ref="D971" authorId="0" shapeId="0">
      <text>
        <t>Loan: Paccar Financial, 5 Peterbilt 579 (Feb 2024). Source: Meiborg_Debt_Schedule_202511.xlsx</t>
      </text>
    </comment>
    <comment ref="D972" authorId="0" shapeId="0">
      <text>
        <t>Sum of rows 923-971: Interest payments</t>
      </text>
    </comment>
    <comment ref="E972" authorId="0" shapeId="0">
      <text>
        <t>Sum of rows 923-971: Principal payments</t>
      </text>
    </comment>
  </commentList>
</comments>
</file>

<file path=xl/comments/comment11.xml><?xml version="1.0" encoding="utf-8"?>
<comments xmlns="http://schemas.openxmlformats.org/spreadsheetml/2006/main">
  <authors>
    <author>Model Builder</author>
  </authors>
  <commentList>
    <comment ref="D9" authorId="0" shapeId="0">
      <text>
        <t>Sum of rows 4-8: All TriState loans opening balances</t>
      </text>
    </comment>
    <comment ref="E9" authorId="0" shapeId="0">
      <text>
        <t>Sum of rows 4-8: All TriState loans remaining balances</t>
      </text>
    </comment>
    <comment ref="F9" authorId="0" shapeId="0">
      <text>
        <t>Sum of rows 4-8: All TriState loans monthly payments</t>
      </text>
    </comment>
    <comment ref="B20" authorId="0" shapeId="0">
      <text>
        <t>Source: Meiborg_Debt_Schedule_202511.xlsx
Loan: 2 T680 Sleepers (Aug 2022)</t>
      </text>
    </comment>
    <comment ref="B22" authorId="0" shapeId="0">
      <text>
        <t>Source: Meiborg_Debt_Schedule_202511.xlsx
Annual rate for 2 T680 Sleepers (Aug 2022)</t>
      </text>
    </comment>
    <comment ref="C35" authorId="0" shapeId="0">
      <text>
        <t>Loan: TriState Capital, 2 T680 Sleepers (Aug 2022). Source: Meiborg_Debt_Schedule_202511.xlsx</t>
      </text>
    </comment>
    <comment ref="D35" authorId="0" shapeId="0">
      <text>
        <t>Interest = Opening * Annual Rate / 12</t>
      </text>
    </comment>
    <comment ref="E35" authorId="0" shapeId="0">
      <text>
        <t>Principal = MIN(Opening, Payment - Interest)</t>
      </text>
    </comment>
    <comment ref="F35" authorId="0" shapeId="0">
      <text>
        <t>Closing = Opening - Principal</t>
      </text>
    </comment>
    <comment ref="C36" authorId="0" shapeId="0">
      <text>
        <t>Loan: TriState Capital, 2 T680 Sleepers (Aug 2022). Source: Meiborg_Debt_Schedule_202511.xlsx</t>
      </text>
    </comment>
    <comment ref="D36" authorId="0" shapeId="0">
      <text>
        <t>Interest = Opening * Annual Rate / 12</t>
      </text>
    </comment>
    <comment ref="E36" authorId="0" shapeId="0">
      <text>
        <t>Principal = MIN(Opening, Payment - Interest)</t>
      </text>
    </comment>
    <comment ref="F36" authorId="0" shapeId="0">
      <text>
        <t>Closing = Opening - Principal</t>
      </text>
    </comment>
    <comment ref="C37" authorId="0" shapeId="0">
      <text>
        <t>Loan: TriState Capital, 2 T680 Sleepers (Aug 2022). Source: Meiborg_Debt_Schedule_202511.xlsx</t>
      </text>
    </comment>
    <comment ref="D37" authorId="0" shapeId="0">
      <text>
        <t>Interest = Opening * Annual Rate / 12</t>
      </text>
    </comment>
    <comment ref="E37" authorId="0" shapeId="0">
      <text>
        <t>Principal = MIN(Opening, Payment - Interest)</t>
      </text>
    </comment>
    <comment ref="F37" authorId="0" shapeId="0">
      <text>
        <t>Closing = Opening - Principal</t>
      </text>
    </comment>
    <comment ref="C38" authorId="0" shapeId="0">
      <text>
        <t>Loan: TriState Capital, 2 T680 Sleepers (Aug 2022). Source: Meiborg_Debt_Schedule_202511.xlsx</t>
      </text>
    </comment>
    <comment ref="D38" authorId="0" shapeId="0">
      <text>
        <t>Interest = Opening * Annual Rate / 12</t>
      </text>
    </comment>
    <comment ref="E38" authorId="0" shapeId="0">
      <text>
        <t>Principal = MIN(Opening, Payment - Interest)</t>
      </text>
    </comment>
    <comment ref="F38" authorId="0" shapeId="0">
      <text>
        <t>Closing = Opening - Principal</t>
      </text>
    </comment>
    <comment ref="C39" authorId="0" shapeId="0">
      <text>
        <t>Loan: TriState Capital, 2 T680 Sleepers (Aug 2022). Source: Meiborg_Debt_Schedule_202511.xlsx</t>
      </text>
    </comment>
    <comment ref="D39" authorId="0" shapeId="0">
      <text>
        <t>Interest = Opening * Annual Rate / 12</t>
      </text>
    </comment>
    <comment ref="E39" authorId="0" shapeId="0">
      <text>
        <t>Principal = MIN(Opening, Payment - Interest)</t>
      </text>
    </comment>
    <comment ref="F39" authorId="0" shapeId="0">
      <text>
        <t>Closing = Opening - Principal</t>
      </text>
    </comment>
    <comment ref="C40" authorId="0" shapeId="0">
      <text>
        <t>Loan: TriState Capital, 2 T680 Sleepers (Aug 2022). Source: Meiborg_Debt_Schedule_202511.xlsx</t>
      </text>
    </comment>
    <comment ref="D40" authorId="0" shapeId="0">
      <text>
        <t>Interest = Opening * Annual Rate / 12</t>
      </text>
    </comment>
    <comment ref="E40" authorId="0" shapeId="0">
      <text>
        <t>Principal = MIN(Opening, Payment - Interest)</t>
      </text>
    </comment>
    <comment ref="F40" authorId="0" shapeId="0">
      <text>
        <t>Closing = Opening - Principal</t>
      </text>
    </comment>
    <comment ref="C41" authorId="0" shapeId="0">
      <text>
        <t>Loan: TriState Capital, 2 T680 Sleepers (Aug 2022). Source: Meiborg_Debt_Schedule_202511.xlsx</t>
      </text>
    </comment>
    <comment ref="D41" authorId="0" shapeId="0">
      <text>
        <t>Interest = Opening * Annual Rate / 12</t>
      </text>
    </comment>
    <comment ref="E41" authorId="0" shapeId="0">
      <text>
        <t>Principal = MIN(Opening, Payment - Interest)</t>
      </text>
    </comment>
    <comment ref="F41" authorId="0" shapeId="0">
      <text>
        <t>Closing = Opening - Principal</t>
      </text>
    </comment>
    <comment ref="C42" authorId="0" shapeId="0">
      <text>
        <t>Loan: TriState Capital, 2 T680 Sleepers (Aug 2022). Source: Meiborg_Debt_Schedule_202511.xlsx</t>
      </text>
    </comment>
    <comment ref="D42" authorId="0" shapeId="0">
      <text>
        <t>Interest = Opening * Annual Rate / 12</t>
      </text>
    </comment>
    <comment ref="E42" authorId="0" shapeId="0">
      <text>
        <t>Principal = MIN(Opening, Payment - Interest)</t>
      </text>
    </comment>
    <comment ref="F42" authorId="0" shapeId="0">
      <text>
        <t>Closing = Opening - Principal</t>
      </text>
    </comment>
    <comment ref="C43" authorId="0" shapeId="0">
      <text>
        <t>Loan: TriState Capital, 2 T680 Sleepers (Aug 2022). Source: Meiborg_Debt_Schedule_202511.xlsx</t>
      </text>
    </comment>
    <comment ref="D43" authorId="0" shapeId="0">
      <text>
        <t>Interest = Opening * Annual Rate / 12</t>
      </text>
    </comment>
    <comment ref="E43" authorId="0" shapeId="0">
      <text>
        <t>Principal = MIN(Opening, Payment - Interest)</t>
      </text>
    </comment>
    <comment ref="F43" authorId="0" shapeId="0">
      <text>
        <t>Closing = Opening - Principal</t>
      </text>
    </comment>
    <comment ref="C44" authorId="0" shapeId="0">
      <text>
        <t>Loan: TriState Capital, 2 T680 Sleepers (Aug 2022). Source: Meiborg_Debt_Schedule_202511.xlsx</t>
      </text>
    </comment>
    <comment ref="D44" authorId="0" shapeId="0">
      <text>
        <t>Interest = Opening * Annual Rate / 12</t>
      </text>
    </comment>
    <comment ref="E44" authorId="0" shapeId="0">
      <text>
        <t>Principal = MIN(Opening, Payment - Interest)</t>
      </text>
    </comment>
    <comment ref="F44" authorId="0" shapeId="0">
      <text>
        <t>Closing = Opening - Principal</t>
      </text>
    </comment>
    <comment ref="C45" authorId="0" shapeId="0">
      <text>
        <t>Loan: TriState Capital, 2 T680 Sleepers (Aug 2022). Source: Meiborg_Debt_Schedule_202511.xlsx</t>
      </text>
    </comment>
    <comment ref="D45" authorId="0" shapeId="0">
      <text>
        <t>Interest = Opening * Annual Rate / 12</t>
      </text>
    </comment>
    <comment ref="E45" authorId="0" shapeId="0">
      <text>
        <t>Principal = MIN(Opening, Payment - Interest)</t>
      </text>
    </comment>
    <comment ref="F45" authorId="0" shapeId="0">
      <text>
        <t>Closing = Opening - Principal</t>
      </text>
    </comment>
    <comment ref="C46" authorId="0" shapeId="0">
      <text>
        <t>Loan: TriState Capital, 2 T680 Sleepers (Aug 2022). Source: Meiborg_Debt_Schedule_202511.xlsx</t>
      </text>
    </comment>
    <comment ref="D46" authorId="0" shapeId="0">
      <text>
        <t>Interest = Opening * Annual Rate / 12</t>
      </text>
    </comment>
    <comment ref="E46" authorId="0" shapeId="0">
      <text>
        <t>Principal = MIN(Opening, Payment - Interest)</t>
      </text>
    </comment>
    <comment ref="F46" authorId="0" shapeId="0">
      <text>
        <t>Closing = Opening - Principal</t>
      </text>
    </comment>
    <comment ref="C47" authorId="0" shapeId="0">
      <text>
        <t>Loan: TriState Capital, 2 T680 Sleepers (Aug 2022). Source: Meiborg_Debt_Schedule_202511.xlsx</t>
      </text>
    </comment>
    <comment ref="D47" authorId="0" shapeId="0">
      <text>
        <t>Interest = Opening * Annual Rate / 12</t>
      </text>
    </comment>
    <comment ref="E47" authorId="0" shapeId="0">
      <text>
        <t>Principal = MIN(Opening, Payment - Interest)</t>
      </text>
    </comment>
    <comment ref="F47" authorId="0" shapeId="0">
      <text>
        <t>Closing = Opening - Principal</t>
      </text>
    </comment>
    <comment ref="C48" authorId="0" shapeId="0">
      <text>
        <t>Loan: TriState Capital, 2 T680 Sleepers (Aug 2022). Source: Meiborg_Debt_Schedule_202511.xlsx</t>
      </text>
    </comment>
    <comment ref="D48" authorId="0" shapeId="0">
      <text>
        <t>Interest = Opening * Annual Rate / 12</t>
      </text>
    </comment>
    <comment ref="E48" authorId="0" shapeId="0">
      <text>
        <t>Principal = MIN(Opening, Payment - Interest)</t>
      </text>
    </comment>
    <comment ref="F48" authorId="0" shapeId="0">
      <text>
        <t>Closing = Opening - Principal</t>
      </text>
    </comment>
    <comment ref="C49" authorId="0" shapeId="0">
      <text>
        <t>Loan: TriState Capital, 2 T680 Sleepers (Aug 2022). Source: Meiborg_Debt_Schedule_202511.xlsx</t>
      </text>
    </comment>
    <comment ref="D49" authorId="0" shapeId="0">
      <text>
        <t>Interest = Opening * Annual Rate / 12</t>
      </text>
    </comment>
    <comment ref="E49" authorId="0" shapeId="0">
      <text>
        <t>Principal = MIN(Opening, Payment - Interest)</t>
      </text>
    </comment>
    <comment ref="F49" authorId="0" shapeId="0">
      <text>
        <t>Closing = Opening - Principal</t>
      </text>
    </comment>
    <comment ref="C50" authorId="0" shapeId="0">
      <text>
        <t>Loan: TriState Capital, 2 T680 Sleepers (Aug 2022). Source: Meiborg_Debt_Schedule_202511.xlsx</t>
      </text>
    </comment>
    <comment ref="D50" authorId="0" shapeId="0">
      <text>
        <t>Interest = Opening * Annual Rate / 12</t>
      </text>
    </comment>
    <comment ref="E50" authorId="0" shapeId="0">
      <text>
        <t>Principal = MIN(Opening, Payment - Interest)</t>
      </text>
    </comment>
    <comment ref="F50" authorId="0" shapeId="0">
      <text>
        <t>Closing = Opening - Principal</t>
      </text>
    </comment>
    <comment ref="C51" authorId="0" shapeId="0">
      <text>
        <t>Loan: TriState Capital, 2 T680 Sleepers (Aug 2022). Source: Meiborg_Debt_Schedule_202511.xlsx</t>
      </text>
    </comment>
    <comment ref="D51" authorId="0" shapeId="0">
      <text>
        <t>Interest = Opening * Annual Rate / 12</t>
      </text>
    </comment>
    <comment ref="E51" authorId="0" shapeId="0">
      <text>
        <t>Principal = MIN(Opening, Payment - Interest)</t>
      </text>
    </comment>
    <comment ref="F51" authorId="0" shapeId="0">
      <text>
        <t>Closing = Opening - Principal</t>
      </text>
    </comment>
    <comment ref="C52" authorId="0" shapeId="0">
      <text>
        <t>Loan: TriState Capital, 2 T680 Sleepers (Aug 2022). Source: Meiborg_Debt_Schedule_202511.xlsx</t>
      </text>
    </comment>
    <comment ref="D52" authorId="0" shapeId="0">
      <text>
        <t>Interest = Opening * Annual Rate / 12</t>
      </text>
    </comment>
    <comment ref="E52" authorId="0" shapeId="0">
      <text>
        <t>Principal = MIN(Opening, Payment - Interest)</t>
      </text>
    </comment>
    <comment ref="F52" authorId="0" shapeId="0">
      <text>
        <t>Closing = Opening - Principal</t>
      </text>
    </comment>
    <comment ref="C53" authorId="0" shapeId="0">
      <text>
        <t>Loan: TriState Capital, 2 T680 Sleepers (Aug 2022). Source: Meiborg_Debt_Schedule_202511.xlsx</t>
      </text>
    </comment>
    <comment ref="D53" authorId="0" shapeId="0">
      <text>
        <t>Interest = Opening * Annual Rate / 12</t>
      </text>
    </comment>
    <comment ref="E53" authorId="0" shapeId="0">
      <text>
        <t>Principal = MIN(Opening, Payment - Interest)</t>
      </text>
    </comment>
    <comment ref="F53" authorId="0" shapeId="0">
      <text>
        <t>Closing = Opening - Principal</t>
      </text>
    </comment>
    <comment ref="C54" authorId="0" shapeId="0">
      <text>
        <t>Loan: TriState Capital, 2 T680 Sleepers (Aug 2022). Source: Meiborg_Debt_Schedule_202511.xlsx</t>
      </text>
    </comment>
    <comment ref="D54" authorId="0" shapeId="0">
      <text>
        <t>Interest = Opening * Annual Rate / 12</t>
      </text>
    </comment>
    <comment ref="E54" authorId="0" shapeId="0">
      <text>
        <t>Principal = MIN(Opening, Payment - Interest)</t>
      </text>
    </comment>
    <comment ref="F54" authorId="0" shapeId="0">
      <text>
        <t>Closing = Opening - Principal</t>
      </text>
    </comment>
    <comment ref="C55" authorId="0" shapeId="0">
      <text>
        <t>Loan: TriState Capital, 2 T680 Sleepers (Aug 2022). Source: Meiborg_Debt_Schedule_202511.xlsx</t>
      </text>
    </comment>
    <comment ref="D55" authorId="0" shapeId="0">
      <text>
        <t>Interest = Opening * Annual Rate / 12</t>
      </text>
    </comment>
    <comment ref="E55" authorId="0" shapeId="0">
      <text>
        <t>Principal = MIN(Opening, Payment - Interest)</t>
      </text>
    </comment>
    <comment ref="F55" authorId="0" shapeId="0">
      <text>
        <t>Closing = Opening - Principal</t>
      </text>
    </comment>
    <comment ref="C56" authorId="0" shapeId="0">
      <text>
        <t>Loan: TriState Capital, 2 T680 Sleepers (Aug 2022). Source: Meiborg_Debt_Schedule_202511.xlsx</t>
      </text>
    </comment>
    <comment ref="D56" authorId="0" shapeId="0">
      <text>
        <t>Interest = Opening * Annual Rate / 12</t>
      </text>
    </comment>
    <comment ref="E56" authorId="0" shapeId="0">
      <text>
        <t>Principal = MIN(Opening, Payment - Interest)</t>
      </text>
    </comment>
    <comment ref="F56" authorId="0" shapeId="0">
      <text>
        <t>Closing = Opening - Principal</t>
      </text>
    </comment>
    <comment ref="C57" authorId="0" shapeId="0">
      <text>
        <t>Loan: TriState Capital, 2 T680 Sleepers (Aug 2022). Source: Meiborg_Debt_Schedule_202511.xlsx</t>
      </text>
    </comment>
    <comment ref="D57" authorId="0" shapeId="0">
      <text>
        <t>Interest = Opening * Annual Rate / 12</t>
      </text>
    </comment>
    <comment ref="E57" authorId="0" shapeId="0">
      <text>
        <t>Principal = MIN(Opening, Payment - Interest)</t>
      </text>
    </comment>
    <comment ref="F57" authorId="0" shapeId="0">
      <text>
        <t>Closing = Opening - Principal</t>
      </text>
    </comment>
    <comment ref="C58" authorId="0" shapeId="0">
      <text>
        <t>Loan: TriState Capital, 2 T680 Sleepers (Aug 2022). Source: Meiborg_Debt_Schedule_202511.xlsx</t>
      </text>
    </comment>
    <comment ref="D58" authorId="0" shapeId="0">
      <text>
        <t>Interest = Opening * Annual Rate / 12</t>
      </text>
    </comment>
    <comment ref="E58" authorId="0" shapeId="0">
      <text>
        <t>Principal = MIN(Opening, Payment - Interest)</t>
      </text>
    </comment>
    <comment ref="F58" authorId="0" shapeId="0">
      <text>
        <t>Closing = Opening - Principal</t>
      </text>
    </comment>
    <comment ref="C59" authorId="0" shapeId="0">
      <text>
        <t>Loan: TriState Capital, 2 T680 Sleepers (Aug 2022). Source: Meiborg_Debt_Schedule_202511.xlsx</t>
      </text>
    </comment>
    <comment ref="D59" authorId="0" shapeId="0">
      <text>
        <t>Interest = Opening * Annual Rate / 12</t>
      </text>
    </comment>
    <comment ref="E59" authorId="0" shapeId="0">
      <text>
        <t>Principal = MIN(Opening, Payment - Interest)</t>
      </text>
    </comment>
    <comment ref="F59" authorId="0" shapeId="0">
      <text>
        <t>Closing = Opening - Principal</t>
      </text>
    </comment>
    <comment ref="C60" authorId="0" shapeId="0">
      <text>
        <t>Loan: TriState Capital, 2 T680 Sleepers (Aug 2022). Source: Meiborg_Debt_Schedule_202511.xlsx</t>
      </text>
    </comment>
    <comment ref="D60" authorId="0" shapeId="0">
      <text>
        <t>Interest = Opening * Annual Rate / 12</t>
      </text>
    </comment>
    <comment ref="E60" authorId="0" shapeId="0">
      <text>
        <t>Principal = MIN(Opening, Payment - Interest)</t>
      </text>
    </comment>
    <comment ref="F60" authorId="0" shapeId="0">
      <text>
        <t>Closing = Opening - Principal</t>
      </text>
    </comment>
    <comment ref="C61" authorId="0" shapeId="0">
      <text>
        <t>Loan: TriState Capital, 2 T680 Sleepers (Aug 2022). Source: Meiborg_Debt_Schedule_202511.xlsx</t>
      </text>
    </comment>
    <comment ref="D61" authorId="0" shapeId="0">
      <text>
        <t>Interest = Opening * Annual Rate / 12</t>
      </text>
    </comment>
    <comment ref="E61" authorId="0" shapeId="0">
      <text>
        <t>Principal = MIN(Opening, Payment - Interest)</t>
      </text>
    </comment>
    <comment ref="F61" authorId="0" shapeId="0">
      <text>
        <t>Closing = Opening - Principal</t>
      </text>
    </comment>
    <comment ref="C62" authorId="0" shapeId="0">
      <text>
        <t>Loan: TriState Capital, 2 T680 Sleepers (Aug 2022). Source: Meiborg_Debt_Schedule_202511.xlsx</t>
      </text>
    </comment>
    <comment ref="D62" authorId="0" shapeId="0">
      <text>
        <t>Interest = Opening * Annual Rate / 12</t>
      </text>
    </comment>
    <comment ref="E62" authorId="0" shapeId="0">
      <text>
        <t>Principal = MIN(Opening, Payment - Interest)</t>
      </text>
    </comment>
    <comment ref="F62" authorId="0" shapeId="0">
      <text>
        <t>Closing = Opening - Principal</t>
      </text>
    </comment>
    <comment ref="D63" authorId="0" shapeId="0">
      <text>
        <t>Sum of rows 35-62: Total interest for 2 T680 Sleepers (Aug 2022)</t>
      </text>
    </comment>
    <comment ref="E63" authorId="0" shapeId="0">
      <text>
        <t>Sum of rows 35-62: Total principal for 2 T680 Sleepers (Aug 2022)</t>
      </text>
    </comment>
    <comment ref="B73" authorId="0" shapeId="0">
      <text>
        <t>Source: Meiborg_Debt_Schedule_202511.xlsx
Loan: 25 Trailers (Oct 2022)</t>
      </text>
    </comment>
    <comment ref="B75" authorId="0" shapeId="0">
      <text>
        <t>Source: Meiborg_Debt_Schedule_202511.xlsx
Annual rate for 25 Trailers (Oct 2022)</t>
      </text>
    </comment>
    <comment ref="C88" authorId="0" shapeId="0">
      <text>
        <t>Loan: TriState Capital, 25 Trailers (Oct 2022). Source: Meiborg_Debt_Schedule_202511.xlsx</t>
      </text>
    </comment>
    <comment ref="D88" authorId="0" shapeId="0">
      <text>
        <t>Interest = Opening * Annual Rate / 12</t>
      </text>
    </comment>
    <comment ref="E88" authorId="0" shapeId="0">
      <text>
        <t>Principal = MIN(Opening, Payment - Interest)</t>
      </text>
    </comment>
    <comment ref="F88" authorId="0" shapeId="0">
      <text>
        <t>Closing = Opening - Principal</t>
      </text>
    </comment>
    <comment ref="C89" authorId="0" shapeId="0">
      <text>
        <t>Loan: TriState Capital, 25 Trailers (Oct 2022). Source: Meiborg_Debt_Schedule_202511.xlsx</t>
      </text>
    </comment>
    <comment ref="D89" authorId="0" shapeId="0">
      <text>
        <t>Interest = Opening * Annual Rate / 12</t>
      </text>
    </comment>
    <comment ref="E89" authorId="0" shapeId="0">
      <text>
        <t>Principal = MIN(Opening, Payment - Interest)</t>
      </text>
    </comment>
    <comment ref="F89" authorId="0" shapeId="0">
      <text>
        <t>Closing = Opening - Principal</t>
      </text>
    </comment>
    <comment ref="C90" authorId="0" shapeId="0">
      <text>
        <t>Loan: TriState Capital, 25 Trailers (Oct 2022). Source: Meiborg_Debt_Schedule_202511.xlsx</t>
      </text>
    </comment>
    <comment ref="D90" authorId="0" shapeId="0">
      <text>
        <t>Interest = Opening * Annual Rate / 12</t>
      </text>
    </comment>
    <comment ref="E90" authorId="0" shapeId="0">
      <text>
        <t>Principal = MIN(Opening, Payment - Interest)</t>
      </text>
    </comment>
    <comment ref="F90" authorId="0" shapeId="0">
      <text>
        <t>Closing = Opening - Principal</t>
      </text>
    </comment>
    <comment ref="C91" authorId="0" shapeId="0">
      <text>
        <t>Loan: TriState Capital, 25 Trailers (Oct 2022). Source: Meiborg_Debt_Schedule_202511.xlsx</t>
      </text>
    </comment>
    <comment ref="D91" authorId="0" shapeId="0">
      <text>
        <t>Interest = Opening * Annual Rate / 12</t>
      </text>
    </comment>
    <comment ref="E91" authorId="0" shapeId="0">
      <text>
        <t>Principal = MIN(Opening, Payment - Interest)</t>
      </text>
    </comment>
    <comment ref="F91" authorId="0" shapeId="0">
      <text>
        <t>Closing = Opening - Principal</t>
      </text>
    </comment>
    <comment ref="C92" authorId="0" shapeId="0">
      <text>
        <t>Loan: TriState Capital, 25 Trailers (Oct 2022). Source: Meiborg_Debt_Schedule_202511.xlsx</t>
      </text>
    </comment>
    <comment ref="D92" authorId="0" shapeId="0">
      <text>
        <t>Interest = Opening * Annual Rate / 12</t>
      </text>
    </comment>
    <comment ref="E92" authorId="0" shapeId="0">
      <text>
        <t>Principal = MIN(Opening, Payment - Interest)</t>
      </text>
    </comment>
    <comment ref="F92" authorId="0" shapeId="0">
      <text>
        <t>Closing = Opening - Principal</t>
      </text>
    </comment>
    <comment ref="C93" authorId="0" shapeId="0">
      <text>
        <t>Loan: TriState Capital, 25 Trailers (Oct 2022). Source: Meiborg_Debt_Schedule_202511.xlsx</t>
      </text>
    </comment>
    <comment ref="D93" authorId="0" shapeId="0">
      <text>
        <t>Interest = Opening * Annual Rate / 12</t>
      </text>
    </comment>
    <comment ref="E93" authorId="0" shapeId="0">
      <text>
        <t>Principal = MIN(Opening, Payment - Interest)</t>
      </text>
    </comment>
    <comment ref="F93" authorId="0" shapeId="0">
      <text>
        <t>Closing = Opening - Principal</t>
      </text>
    </comment>
    <comment ref="C94" authorId="0" shapeId="0">
      <text>
        <t>Loan: TriState Capital, 25 Trailers (Oct 2022). Source: Meiborg_Debt_Schedule_202511.xlsx</t>
      </text>
    </comment>
    <comment ref="D94" authorId="0" shapeId="0">
      <text>
        <t>Interest = Opening * Annual Rate / 12</t>
      </text>
    </comment>
    <comment ref="E94" authorId="0" shapeId="0">
      <text>
        <t>Principal = MIN(Opening, Payment - Interest)</t>
      </text>
    </comment>
    <comment ref="F94" authorId="0" shapeId="0">
      <text>
        <t>Closing = Opening - Principal</t>
      </text>
    </comment>
    <comment ref="C95" authorId="0" shapeId="0">
      <text>
        <t>Loan: TriState Capital, 25 Trailers (Oct 2022). Source: Meiborg_Debt_Schedule_202511.xlsx</t>
      </text>
    </comment>
    <comment ref="D95" authorId="0" shapeId="0">
      <text>
        <t>Interest = Opening * Annual Rate / 12</t>
      </text>
    </comment>
    <comment ref="E95" authorId="0" shapeId="0">
      <text>
        <t>Principal = MIN(Opening, Payment - Interest)</t>
      </text>
    </comment>
    <comment ref="F95" authorId="0" shapeId="0">
      <text>
        <t>Closing = Opening - Principal</t>
      </text>
    </comment>
    <comment ref="C96" authorId="0" shapeId="0">
      <text>
        <t>Loan: TriState Capital, 25 Trailers (Oct 2022). Source: Meiborg_Debt_Schedule_202511.xlsx</t>
      </text>
    </comment>
    <comment ref="D96" authorId="0" shapeId="0">
      <text>
        <t>Interest = Opening * Annual Rate / 12</t>
      </text>
    </comment>
    <comment ref="E96" authorId="0" shapeId="0">
      <text>
        <t>Principal = MIN(Opening, Payment - Interest)</t>
      </text>
    </comment>
    <comment ref="F96" authorId="0" shapeId="0">
      <text>
        <t>Closing = Opening - Principal</t>
      </text>
    </comment>
    <comment ref="C97" authorId="0" shapeId="0">
      <text>
        <t>Loan: TriState Capital, 25 Trailers (Oct 2022). Source: Meiborg_Debt_Schedule_202511.xlsx</t>
      </text>
    </comment>
    <comment ref="D97" authorId="0" shapeId="0">
      <text>
        <t>Interest = Opening * Annual Rate / 12</t>
      </text>
    </comment>
    <comment ref="E97" authorId="0" shapeId="0">
      <text>
        <t>Principal = MIN(Opening, Payment - Interest)</t>
      </text>
    </comment>
    <comment ref="F97" authorId="0" shapeId="0">
      <text>
        <t>Closing = Opening - Principal</t>
      </text>
    </comment>
    <comment ref="C98" authorId="0" shapeId="0">
      <text>
        <t>Loan: TriState Capital, 25 Trailers (Oct 2022). Source: Meiborg_Debt_Schedule_202511.xlsx</t>
      </text>
    </comment>
    <comment ref="D98" authorId="0" shapeId="0">
      <text>
        <t>Interest = Opening * Annual Rate / 12</t>
      </text>
    </comment>
    <comment ref="E98" authorId="0" shapeId="0">
      <text>
        <t>Principal = MIN(Opening, Payment - Interest)</t>
      </text>
    </comment>
    <comment ref="F98" authorId="0" shapeId="0">
      <text>
        <t>Closing = Opening - Principal</t>
      </text>
    </comment>
    <comment ref="C99" authorId="0" shapeId="0">
      <text>
        <t>Loan: TriState Capital, 25 Trailers (Oct 2022). Source: Meiborg_Debt_Schedule_202511.xlsx</t>
      </text>
    </comment>
    <comment ref="D99" authorId="0" shapeId="0">
      <text>
        <t>Interest = Opening * Annual Rate / 12</t>
      </text>
    </comment>
    <comment ref="E99" authorId="0" shapeId="0">
      <text>
        <t>Principal = MIN(Opening, Payment - Interest)</t>
      </text>
    </comment>
    <comment ref="F99" authorId="0" shapeId="0">
      <text>
        <t>Closing = Opening - Principal</t>
      </text>
    </comment>
    <comment ref="C100" authorId="0" shapeId="0">
      <text>
        <t>Loan: TriState Capital, 25 Trailers (Oct 2022). Source: Meiborg_Debt_Schedule_202511.xlsx</t>
      </text>
    </comment>
    <comment ref="D100" authorId="0" shapeId="0">
      <text>
        <t>Interest = Opening * Annual Rate / 12</t>
      </text>
    </comment>
    <comment ref="E100" authorId="0" shapeId="0">
      <text>
        <t>Principal = MIN(Opening, Payment - Interest)</t>
      </text>
    </comment>
    <comment ref="F100" authorId="0" shapeId="0">
      <text>
        <t>Closing = Opening - Principal</t>
      </text>
    </comment>
    <comment ref="C101" authorId="0" shapeId="0">
      <text>
        <t>Loan: TriState Capital, 25 Trailers (Oct 2022). Source: Meiborg_Debt_Schedule_202511.xlsx</t>
      </text>
    </comment>
    <comment ref="D101" authorId="0" shapeId="0">
      <text>
        <t>Interest = Opening * Annual Rate / 12</t>
      </text>
    </comment>
    <comment ref="E101" authorId="0" shapeId="0">
      <text>
        <t>Principal = MIN(Opening, Payment - Interest)</t>
      </text>
    </comment>
    <comment ref="F101" authorId="0" shapeId="0">
      <text>
        <t>Closing = Opening - Principal</t>
      </text>
    </comment>
    <comment ref="C102" authorId="0" shapeId="0">
      <text>
        <t>Loan: TriState Capital, 25 Trailers (Oct 2022). Source: Meiborg_Debt_Schedule_202511.xlsx</t>
      </text>
    </comment>
    <comment ref="D102" authorId="0" shapeId="0">
      <text>
        <t>Interest = Opening * Annual Rate / 12</t>
      </text>
    </comment>
    <comment ref="E102" authorId="0" shapeId="0">
      <text>
        <t>Principal = MIN(Opening, Payment - Interest)</t>
      </text>
    </comment>
    <comment ref="F102" authorId="0" shapeId="0">
      <text>
        <t>Closing = Opening - Principal</t>
      </text>
    </comment>
    <comment ref="C103" authorId="0" shapeId="0">
      <text>
        <t>Loan: TriState Capital, 25 Trailers (Oct 2022). Source: Meiborg_Debt_Schedule_202511.xlsx</t>
      </text>
    </comment>
    <comment ref="D103" authorId="0" shapeId="0">
      <text>
        <t>Interest = Opening * Annual Rate / 12</t>
      </text>
    </comment>
    <comment ref="E103" authorId="0" shapeId="0">
      <text>
        <t>Principal = MIN(Opening, Payment - Interest)</t>
      </text>
    </comment>
    <comment ref="F103" authorId="0" shapeId="0">
      <text>
        <t>Closing = Opening - Principal</t>
      </text>
    </comment>
    <comment ref="C104" authorId="0" shapeId="0">
      <text>
        <t>Loan: TriState Capital, 25 Trailers (Oct 2022). Source: Meiborg_Debt_Schedule_202511.xlsx</t>
      </text>
    </comment>
    <comment ref="D104" authorId="0" shapeId="0">
      <text>
        <t>Interest = Opening * Annual Rate / 12</t>
      </text>
    </comment>
    <comment ref="E104" authorId="0" shapeId="0">
      <text>
        <t>Principal = MIN(Opening, Payment - Interest)</t>
      </text>
    </comment>
    <comment ref="F104" authorId="0" shapeId="0">
      <text>
        <t>Closing = Opening - Principal</t>
      </text>
    </comment>
    <comment ref="C105" authorId="0" shapeId="0">
      <text>
        <t>Loan: TriState Capital, 25 Trailers (Oct 2022). Source: Meiborg_Debt_Schedule_202511.xlsx</t>
      </text>
    </comment>
    <comment ref="D105" authorId="0" shapeId="0">
      <text>
        <t>Interest = Opening * Annual Rate / 12</t>
      </text>
    </comment>
    <comment ref="E105" authorId="0" shapeId="0">
      <text>
        <t>Principal = MIN(Opening, Payment - Interest)</t>
      </text>
    </comment>
    <comment ref="F105" authorId="0" shapeId="0">
      <text>
        <t>Closing = Opening - Principal</t>
      </text>
    </comment>
    <comment ref="C106" authorId="0" shapeId="0">
      <text>
        <t>Loan: TriState Capital, 25 Trailers (Oct 2022). Source: Meiborg_Debt_Schedule_202511.xlsx</t>
      </text>
    </comment>
    <comment ref="D106" authorId="0" shapeId="0">
      <text>
        <t>Interest = Opening * Annual Rate / 12</t>
      </text>
    </comment>
    <comment ref="E106" authorId="0" shapeId="0">
      <text>
        <t>Principal = MIN(Opening, Payment - Interest)</t>
      </text>
    </comment>
    <comment ref="F106" authorId="0" shapeId="0">
      <text>
        <t>Closing = Opening - Principal</t>
      </text>
    </comment>
    <comment ref="C107" authorId="0" shapeId="0">
      <text>
        <t>Loan: TriState Capital, 25 Trailers (Oct 2022). Source: Meiborg_Debt_Schedule_202511.xlsx</t>
      </text>
    </comment>
    <comment ref="D107" authorId="0" shapeId="0">
      <text>
        <t>Interest = Opening * Annual Rate / 12</t>
      </text>
    </comment>
    <comment ref="E107" authorId="0" shapeId="0">
      <text>
        <t>Principal = MIN(Opening, Payment - Interest)</t>
      </text>
    </comment>
    <comment ref="F107" authorId="0" shapeId="0">
      <text>
        <t>Closing = Opening - Principal</t>
      </text>
    </comment>
    <comment ref="C108" authorId="0" shapeId="0">
      <text>
        <t>Loan: TriState Capital, 25 Trailers (Oct 2022). Source: Meiborg_Debt_Schedule_202511.xlsx</t>
      </text>
    </comment>
    <comment ref="D108" authorId="0" shapeId="0">
      <text>
        <t>Interest = Opening * Annual Rate / 12</t>
      </text>
    </comment>
    <comment ref="E108" authorId="0" shapeId="0">
      <text>
        <t>Principal = MIN(Opening, Payment - Interest)</t>
      </text>
    </comment>
    <comment ref="F108" authorId="0" shapeId="0">
      <text>
        <t>Closing = Opening - Principal</t>
      </text>
    </comment>
    <comment ref="C109" authorId="0" shapeId="0">
      <text>
        <t>Loan: TriState Capital, 25 Trailers (Oct 2022). Source: Meiborg_Debt_Schedule_202511.xlsx</t>
      </text>
    </comment>
    <comment ref="D109" authorId="0" shapeId="0">
      <text>
        <t>Interest = Opening * Annual Rate / 12</t>
      </text>
    </comment>
    <comment ref="E109" authorId="0" shapeId="0">
      <text>
        <t>Principal = MIN(Opening, Payment - Interest)</t>
      </text>
    </comment>
    <comment ref="F109" authorId="0" shapeId="0">
      <text>
        <t>Closing = Opening - Principal</t>
      </text>
    </comment>
    <comment ref="C110" authorId="0" shapeId="0">
      <text>
        <t>Loan: TriState Capital, 25 Trailers (Oct 2022). Source: Meiborg_Debt_Schedule_202511.xlsx</t>
      </text>
    </comment>
    <comment ref="D110" authorId="0" shapeId="0">
      <text>
        <t>Interest = Opening * Annual Rate / 12</t>
      </text>
    </comment>
    <comment ref="E110" authorId="0" shapeId="0">
      <text>
        <t>Principal = MIN(Opening, Payment - Interest)</t>
      </text>
    </comment>
    <comment ref="F110" authorId="0" shapeId="0">
      <text>
        <t>Closing = Opening - Principal</t>
      </text>
    </comment>
    <comment ref="C111" authorId="0" shapeId="0">
      <text>
        <t>Loan: TriState Capital, 25 Trailers (Oct 2022). Source: Meiborg_Debt_Schedule_202511.xlsx</t>
      </text>
    </comment>
    <comment ref="D111" authorId="0" shapeId="0">
      <text>
        <t>Interest = Opening * Annual Rate / 12</t>
      </text>
    </comment>
    <comment ref="E111" authorId="0" shapeId="0">
      <text>
        <t>Principal = MIN(Opening, Payment - Interest)</t>
      </text>
    </comment>
    <comment ref="F111" authorId="0" shapeId="0">
      <text>
        <t>Closing = Opening - Principal</t>
      </text>
    </comment>
    <comment ref="C112" authorId="0" shapeId="0">
      <text>
        <t>Loan: TriState Capital, 25 Trailers (Oct 2022). Source: Meiborg_Debt_Schedule_202511.xlsx</t>
      </text>
    </comment>
    <comment ref="D112" authorId="0" shapeId="0">
      <text>
        <t>Interest = Opening * Annual Rate / 12</t>
      </text>
    </comment>
    <comment ref="E112" authorId="0" shapeId="0">
      <text>
        <t>Principal = MIN(Opening, Payment - Interest)</t>
      </text>
    </comment>
    <comment ref="F112" authorId="0" shapeId="0">
      <text>
        <t>Closing = Opening - Principal</t>
      </text>
    </comment>
    <comment ref="C113" authorId="0" shapeId="0">
      <text>
        <t>Loan: TriState Capital, 25 Trailers (Oct 2022). Source: Meiborg_Debt_Schedule_202511.xlsx</t>
      </text>
    </comment>
    <comment ref="D113" authorId="0" shapeId="0">
      <text>
        <t>Interest = Opening * Annual Rate / 12</t>
      </text>
    </comment>
    <comment ref="E113" authorId="0" shapeId="0">
      <text>
        <t>Principal = MIN(Opening, Payment - Interest)</t>
      </text>
    </comment>
    <comment ref="F113" authorId="0" shapeId="0">
      <text>
        <t>Closing = Opening - Principal</t>
      </text>
    </comment>
    <comment ref="C114" authorId="0" shapeId="0">
      <text>
        <t>Loan: TriState Capital, 25 Trailers (Oct 2022). Source: Meiborg_Debt_Schedule_202511.xlsx</t>
      </text>
    </comment>
    <comment ref="D114" authorId="0" shapeId="0">
      <text>
        <t>Interest = Opening * Annual Rate / 12</t>
      </text>
    </comment>
    <comment ref="E114" authorId="0" shapeId="0">
      <text>
        <t>Principal = MIN(Opening, Payment - Interest)</t>
      </text>
    </comment>
    <comment ref="F114" authorId="0" shapeId="0">
      <text>
        <t>Closing = Opening - Principal</t>
      </text>
    </comment>
    <comment ref="C115" authorId="0" shapeId="0">
      <text>
        <t>Loan: TriState Capital, 25 Trailers (Oct 2022). Source: Meiborg_Debt_Schedule_202511.xlsx</t>
      </text>
    </comment>
    <comment ref="D115" authorId="0" shapeId="0">
      <text>
        <t>Interest = Opening * Annual Rate / 12</t>
      </text>
    </comment>
    <comment ref="E115" authorId="0" shapeId="0">
      <text>
        <t>Principal = MIN(Opening, Payment - Interest)</t>
      </text>
    </comment>
    <comment ref="F115" authorId="0" shapeId="0">
      <text>
        <t>Closing = Opening - Principal</t>
      </text>
    </comment>
    <comment ref="C116" authorId="0" shapeId="0">
      <text>
        <t>Loan: TriState Capital, 25 Trailers (Oct 2022). Source: Meiborg_Debt_Schedule_202511.xlsx</t>
      </text>
    </comment>
    <comment ref="D116" authorId="0" shapeId="0">
      <text>
        <t>Interest = Opening * Annual Rate / 12</t>
      </text>
    </comment>
    <comment ref="E116" authorId="0" shapeId="0">
      <text>
        <t>Principal = MIN(Opening, Payment - Interest)</t>
      </text>
    </comment>
    <comment ref="F116" authorId="0" shapeId="0">
      <text>
        <t>Closing = Opening - Principal</t>
      </text>
    </comment>
    <comment ref="C117" authorId="0" shapeId="0">
      <text>
        <t>Loan: TriState Capital, 25 Trailers (Oct 2022). Source: Meiborg_Debt_Schedule_202511.xlsx</t>
      </text>
    </comment>
    <comment ref="D117" authorId="0" shapeId="0">
      <text>
        <t>Interest = Opening * Annual Rate / 12</t>
      </text>
    </comment>
    <comment ref="E117" authorId="0" shapeId="0">
      <text>
        <t>Principal = MIN(Opening, Payment - Interest)</t>
      </text>
    </comment>
    <comment ref="F117" authorId="0" shapeId="0">
      <text>
        <t>Closing = Opening - Principal</t>
      </text>
    </comment>
    <comment ref="C118" authorId="0" shapeId="0">
      <text>
        <t>Loan: TriState Capital, 25 Trailers (Oct 2022). Source: Meiborg_Debt_Schedule_202511.xlsx</t>
      </text>
    </comment>
    <comment ref="D118" authorId="0" shapeId="0">
      <text>
        <t>Interest = Opening * Annual Rate / 12</t>
      </text>
    </comment>
    <comment ref="E118" authorId="0" shapeId="0">
      <text>
        <t>Principal = MIN(Opening, Payment - Interest)</t>
      </text>
    </comment>
    <comment ref="F118" authorId="0" shapeId="0">
      <text>
        <t>Closing = Opening - Principal</t>
      </text>
    </comment>
    <comment ref="C119" authorId="0" shapeId="0">
      <text>
        <t>Loan: TriState Capital, 25 Trailers (Oct 2022). Source: Meiborg_Debt_Schedule_202511.xlsx</t>
      </text>
    </comment>
    <comment ref="D119" authorId="0" shapeId="0">
      <text>
        <t>Interest = Opening * Annual Rate / 12</t>
      </text>
    </comment>
    <comment ref="E119" authorId="0" shapeId="0">
      <text>
        <t>Principal = MIN(Opening, Payment - Interest)</t>
      </text>
    </comment>
    <comment ref="F119" authorId="0" shapeId="0">
      <text>
        <t>Closing = Opening - Principal</t>
      </text>
    </comment>
    <comment ref="C120" authorId="0" shapeId="0">
      <text>
        <t>Loan: TriState Capital, 25 Trailers (Oct 2022). Source: Meiborg_Debt_Schedule_202511.xlsx</t>
      </text>
    </comment>
    <comment ref="D120" authorId="0" shapeId="0">
      <text>
        <t>Interest = Opening * Annual Rate / 12</t>
      </text>
    </comment>
    <comment ref="E120" authorId="0" shapeId="0">
      <text>
        <t>Principal = MIN(Opening, Payment - Interest)</t>
      </text>
    </comment>
    <comment ref="F120" authorId="0" shapeId="0">
      <text>
        <t>Closing = Opening - Principal</t>
      </text>
    </comment>
    <comment ref="C121" authorId="0" shapeId="0">
      <text>
        <t>Loan: TriState Capital, 25 Trailers (Oct 2022). Source: Meiborg_Debt_Schedule_202511.xlsx</t>
      </text>
    </comment>
    <comment ref="D121" authorId="0" shapeId="0">
      <text>
        <t>Interest = Opening * Annual Rate / 12</t>
      </text>
    </comment>
    <comment ref="E121" authorId="0" shapeId="0">
      <text>
        <t>Principal = MIN(Opening, Payment - Interest)</t>
      </text>
    </comment>
    <comment ref="F121" authorId="0" shapeId="0">
      <text>
        <t>Closing = Opening - Principal</t>
      </text>
    </comment>
    <comment ref="C122" authorId="0" shapeId="0">
      <text>
        <t>Loan: TriState Capital, 25 Trailers (Oct 2022). Source: Meiborg_Debt_Schedule_202511.xlsx</t>
      </text>
    </comment>
    <comment ref="D122" authorId="0" shapeId="0">
      <text>
        <t>Interest = Opening * Annual Rate / 12</t>
      </text>
    </comment>
    <comment ref="E122" authorId="0" shapeId="0">
      <text>
        <t>Principal = MIN(Opening, Payment - Interest)</t>
      </text>
    </comment>
    <comment ref="F122" authorId="0" shapeId="0">
      <text>
        <t>Closing = Opening - Principal</t>
      </text>
    </comment>
    <comment ref="C123" authorId="0" shapeId="0">
      <text>
        <t>Loan: TriState Capital, 25 Trailers (Oct 2022). Source: Meiborg_Debt_Schedule_202511.xlsx</t>
      </text>
    </comment>
    <comment ref="D123" authorId="0" shapeId="0">
      <text>
        <t>Interest = Opening * Annual Rate / 12</t>
      </text>
    </comment>
    <comment ref="E123" authorId="0" shapeId="0">
      <text>
        <t>Principal = MIN(Opening, Payment - Interest)</t>
      </text>
    </comment>
    <comment ref="F123" authorId="0" shapeId="0">
      <text>
        <t>Closing = Opening - Principal</t>
      </text>
    </comment>
    <comment ref="C124" authorId="0" shapeId="0">
      <text>
        <t>Loan: TriState Capital, 25 Trailers (Oct 2022). Source: Meiborg_Debt_Schedule_202511.xlsx</t>
      </text>
    </comment>
    <comment ref="D124" authorId="0" shapeId="0">
      <text>
        <t>Interest = Opening * Annual Rate / 12</t>
      </text>
    </comment>
    <comment ref="E124" authorId="0" shapeId="0">
      <text>
        <t>Principal = MIN(Opening, Payment - Interest)</t>
      </text>
    </comment>
    <comment ref="F124" authorId="0" shapeId="0">
      <text>
        <t>Closing = Opening - Principal</t>
      </text>
    </comment>
    <comment ref="C125" authorId="0" shapeId="0">
      <text>
        <t>Loan: TriState Capital, 25 Trailers (Oct 2022). Source: Meiborg_Debt_Schedule_202511.xlsx</t>
      </text>
    </comment>
    <comment ref="D125" authorId="0" shapeId="0">
      <text>
        <t>Interest = Opening * Annual Rate / 12</t>
      </text>
    </comment>
    <comment ref="E125" authorId="0" shapeId="0">
      <text>
        <t>Principal = MIN(Opening, Payment - Interest)</t>
      </text>
    </comment>
    <comment ref="F125" authorId="0" shapeId="0">
      <text>
        <t>Closing = Opening - Principal</t>
      </text>
    </comment>
    <comment ref="C126" authorId="0" shapeId="0">
      <text>
        <t>Loan: TriState Capital, 25 Trailers (Oct 2022). Source: Meiborg_Debt_Schedule_202511.xlsx</t>
      </text>
    </comment>
    <comment ref="D126" authorId="0" shapeId="0">
      <text>
        <t>Interest = Opening * Annual Rate / 12</t>
      </text>
    </comment>
    <comment ref="E126" authorId="0" shapeId="0">
      <text>
        <t>Principal = MIN(Opening, Payment - Interest)</t>
      </text>
    </comment>
    <comment ref="F126" authorId="0" shapeId="0">
      <text>
        <t>Closing = Opening - Principal</t>
      </text>
    </comment>
    <comment ref="C127" authorId="0" shapeId="0">
      <text>
        <t>Loan: TriState Capital, 25 Trailers (Oct 2022). Source: Meiborg_Debt_Schedule_202511.xlsx</t>
      </text>
    </comment>
    <comment ref="D127" authorId="0" shapeId="0">
      <text>
        <t>Interest = Opening * Annual Rate / 12</t>
      </text>
    </comment>
    <comment ref="E127" authorId="0" shapeId="0">
      <text>
        <t>Principal = MIN(Opening, Payment - Interest)</t>
      </text>
    </comment>
    <comment ref="F127" authorId="0" shapeId="0">
      <text>
        <t>Closing = Opening - Principal</t>
      </text>
    </comment>
    <comment ref="C128" authorId="0" shapeId="0">
      <text>
        <t>Loan: TriState Capital, 25 Trailers (Oct 2022). Source: Meiborg_Debt_Schedule_202511.xlsx</t>
      </text>
    </comment>
    <comment ref="D128" authorId="0" shapeId="0">
      <text>
        <t>Interest = Opening * Annual Rate / 12</t>
      </text>
    </comment>
    <comment ref="E128" authorId="0" shapeId="0">
      <text>
        <t>Principal = MIN(Opening, Payment - Interest)</t>
      </text>
    </comment>
    <comment ref="F128" authorId="0" shapeId="0">
      <text>
        <t>Closing = Opening - Principal</t>
      </text>
    </comment>
    <comment ref="C129" authorId="0" shapeId="0">
      <text>
        <t>Loan: TriState Capital, 25 Trailers (Oct 2022). Source: Meiborg_Debt_Schedule_202511.xlsx</t>
      </text>
    </comment>
    <comment ref="D129" authorId="0" shapeId="0">
      <text>
        <t>Interest = Opening * Annual Rate / 12</t>
      </text>
    </comment>
    <comment ref="E129" authorId="0" shapeId="0">
      <text>
        <t>Principal = MIN(Opening, Payment - Interest)</t>
      </text>
    </comment>
    <comment ref="F129" authorId="0" shapeId="0">
      <text>
        <t>Closing = Opening - Principal</t>
      </text>
    </comment>
    <comment ref="C130" authorId="0" shapeId="0">
      <text>
        <t>Loan: TriState Capital, 25 Trailers (Oct 2022). Source: Meiborg_Debt_Schedule_202511.xlsx</t>
      </text>
    </comment>
    <comment ref="D130" authorId="0" shapeId="0">
      <text>
        <t>Interest = Opening * Annual Rate / 12</t>
      </text>
    </comment>
    <comment ref="E130" authorId="0" shapeId="0">
      <text>
        <t>Principal = MIN(Opening, Payment - Interest)</t>
      </text>
    </comment>
    <comment ref="F130" authorId="0" shapeId="0">
      <text>
        <t>Closing = Opening - Principal</t>
      </text>
    </comment>
    <comment ref="C131" authorId="0" shapeId="0">
      <text>
        <t>Loan: TriState Capital, 25 Trailers (Oct 2022). Source: Meiborg_Debt_Schedule_202511.xlsx</t>
      </text>
    </comment>
    <comment ref="D131" authorId="0" shapeId="0">
      <text>
        <t>Interest = Opening * Annual Rate / 12</t>
      </text>
    </comment>
    <comment ref="E131" authorId="0" shapeId="0">
      <text>
        <t>Principal = MIN(Opening, Payment - Interest)</t>
      </text>
    </comment>
    <comment ref="F131" authorId="0" shapeId="0">
      <text>
        <t>Closing = Opening - Principal</t>
      </text>
    </comment>
    <comment ref="C132" authorId="0" shapeId="0">
      <text>
        <t>Loan: TriState Capital, 25 Trailers (Oct 2022). Source: Meiborg_Debt_Schedule_202511.xlsx</t>
      </text>
    </comment>
    <comment ref="D132" authorId="0" shapeId="0">
      <text>
        <t>Interest = Opening * Annual Rate / 12</t>
      </text>
    </comment>
    <comment ref="E132" authorId="0" shapeId="0">
      <text>
        <t>Principal = MIN(Opening, Payment - Interest)</t>
      </text>
    </comment>
    <comment ref="F132" authorId="0" shapeId="0">
      <text>
        <t>Closing = Opening - Principal</t>
      </text>
    </comment>
    <comment ref="C133" authorId="0" shapeId="0">
      <text>
        <t>Loan: TriState Capital, 25 Trailers (Oct 2022). Source: Meiborg_Debt_Schedule_202511.xlsx</t>
      </text>
    </comment>
    <comment ref="D133" authorId="0" shapeId="0">
      <text>
        <t>Interest = Opening * Annual Rate / 12</t>
      </text>
    </comment>
    <comment ref="E133" authorId="0" shapeId="0">
      <text>
        <t>Principal = MIN(Opening, Payment - Interest)</t>
      </text>
    </comment>
    <comment ref="F133" authorId="0" shapeId="0">
      <text>
        <t>Closing = Opening - Principal</t>
      </text>
    </comment>
    <comment ref="C134" authorId="0" shapeId="0">
      <text>
        <t>Loan: TriState Capital, 25 Trailers (Oct 2022). Source: Meiborg_Debt_Schedule_202511.xlsx</t>
      </text>
    </comment>
    <comment ref="D134" authorId="0" shapeId="0">
      <text>
        <t>Interest = Opening * Annual Rate / 12</t>
      </text>
    </comment>
    <comment ref="E134" authorId="0" shapeId="0">
      <text>
        <t>Principal = MIN(Opening, Payment - Interest)</t>
      </text>
    </comment>
    <comment ref="F134" authorId="0" shapeId="0">
      <text>
        <t>Closing = Opening - Principal</t>
      </text>
    </comment>
    <comment ref="C135" authorId="0" shapeId="0">
      <text>
        <t>Loan: TriState Capital, 25 Trailers (Oct 2022). Source: Meiborg_Debt_Schedule_202511.xlsx</t>
      </text>
    </comment>
    <comment ref="D135" authorId="0" shapeId="0">
      <text>
        <t>Interest = Opening * Annual Rate / 12</t>
      </text>
    </comment>
    <comment ref="E135" authorId="0" shapeId="0">
      <text>
        <t>Principal = MIN(Opening, Payment - Interest)</t>
      </text>
    </comment>
    <comment ref="F135" authorId="0" shapeId="0">
      <text>
        <t>Closing = Opening - Principal</t>
      </text>
    </comment>
    <comment ref="D136" authorId="0" shapeId="0">
      <text>
        <t>Sum of rows 88-135: Total interest for 25 Trailers (Oct 2022)</t>
      </text>
    </comment>
    <comment ref="E136" authorId="0" shapeId="0">
      <text>
        <t>Sum of rows 88-135: Total principal for 25 Trailers (Oct 2022)</t>
      </text>
    </comment>
    <comment ref="B146" authorId="0" shapeId="0">
      <text>
        <t>Source: Meiborg_Debt_Schedule_202511.xlsx
Loan: 3 Peterbilt 579 (Feb 2023)</t>
      </text>
    </comment>
    <comment ref="B148" authorId="0" shapeId="0">
      <text>
        <t>Source: Meiborg_Debt_Schedule_202511.xlsx
Annual rate for 3 Peterbilt 579 (Feb 2023)</t>
      </text>
    </comment>
    <comment ref="C161" authorId="0" shapeId="0">
      <text>
        <t>Loan: TriState Capital, 3 Peterbilt 579 (Feb 2023). Source: Meiborg_Debt_Schedule_202511.xlsx</t>
      </text>
    </comment>
    <comment ref="D161" authorId="0" shapeId="0">
      <text>
        <t>Interest = Opening * Annual Rate / 12</t>
      </text>
    </comment>
    <comment ref="E161" authorId="0" shapeId="0">
      <text>
        <t>Principal = MIN(Opening, Payment - Interest)</t>
      </text>
    </comment>
    <comment ref="F161" authorId="0" shapeId="0">
      <text>
        <t>Closing = Opening - Principal</t>
      </text>
    </comment>
    <comment ref="C162" authorId="0" shapeId="0">
      <text>
        <t>Loan: TriState Capital, 3 Peterbilt 579 (Feb 2023). Source: Meiborg_Debt_Schedule_202511.xlsx</t>
      </text>
    </comment>
    <comment ref="D162" authorId="0" shapeId="0">
      <text>
        <t>Interest = Opening * Annual Rate / 12</t>
      </text>
    </comment>
    <comment ref="E162" authorId="0" shapeId="0">
      <text>
        <t>Principal = MIN(Opening, Payment - Interest)</t>
      </text>
    </comment>
    <comment ref="F162" authorId="0" shapeId="0">
      <text>
        <t>Closing = Opening - Principal</t>
      </text>
    </comment>
    <comment ref="C163" authorId="0" shapeId="0">
      <text>
        <t>Loan: TriState Capital, 3 Peterbilt 579 (Feb 2023). Source: Meiborg_Debt_Schedule_202511.xlsx</t>
      </text>
    </comment>
    <comment ref="D163" authorId="0" shapeId="0">
      <text>
        <t>Interest = Opening * Annual Rate / 12</t>
      </text>
    </comment>
    <comment ref="E163" authorId="0" shapeId="0">
      <text>
        <t>Principal = MIN(Opening, Payment - Interest)</t>
      </text>
    </comment>
    <comment ref="F163" authorId="0" shapeId="0">
      <text>
        <t>Closing = Opening - Principal</t>
      </text>
    </comment>
    <comment ref="C164" authorId="0" shapeId="0">
      <text>
        <t>Loan: TriState Capital, 3 Peterbilt 579 (Feb 2023). Source: Meiborg_Debt_Schedule_202511.xlsx</t>
      </text>
    </comment>
    <comment ref="D164" authorId="0" shapeId="0">
      <text>
        <t>Interest = Opening * Annual Rate / 12</t>
      </text>
    </comment>
    <comment ref="E164" authorId="0" shapeId="0">
      <text>
        <t>Principal = MIN(Opening, Payment - Interest)</t>
      </text>
    </comment>
    <comment ref="F164" authorId="0" shapeId="0">
      <text>
        <t>Closing = Opening - Principal</t>
      </text>
    </comment>
    <comment ref="C165" authorId="0" shapeId="0">
      <text>
        <t>Loan: TriState Capital, 3 Peterbilt 579 (Feb 2023). Source: Meiborg_Debt_Schedule_202511.xlsx</t>
      </text>
    </comment>
    <comment ref="D165" authorId="0" shapeId="0">
      <text>
        <t>Interest = Opening * Annual Rate / 12</t>
      </text>
    </comment>
    <comment ref="E165" authorId="0" shapeId="0">
      <text>
        <t>Principal = MIN(Opening, Payment - Interest)</t>
      </text>
    </comment>
    <comment ref="F165" authorId="0" shapeId="0">
      <text>
        <t>Closing = Opening - Principal</t>
      </text>
    </comment>
    <comment ref="C166" authorId="0" shapeId="0">
      <text>
        <t>Loan: TriState Capital, 3 Peterbilt 579 (Feb 2023). Source: Meiborg_Debt_Schedule_202511.xlsx</t>
      </text>
    </comment>
    <comment ref="D166" authorId="0" shapeId="0">
      <text>
        <t>Interest = Opening * Annual Rate / 12</t>
      </text>
    </comment>
    <comment ref="E166" authorId="0" shapeId="0">
      <text>
        <t>Principal = MIN(Opening, Payment - Interest)</t>
      </text>
    </comment>
    <comment ref="F166" authorId="0" shapeId="0">
      <text>
        <t>Closing = Opening - Principal</t>
      </text>
    </comment>
    <comment ref="C167" authorId="0" shapeId="0">
      <text>
        <t>Loan: TriState Capital, 3 Peterbilt 579 (Feb 2023). Source: Meiborg_Debt_Schedule_202511.xlsx</t>
      </text>
    </comment>
    <comment ref="D167" authorId="0" shapeId="0">
      <text>
        <t>Interest = Opening * Annual Rate / 12</t>
      </text>
    </comment>
    <comment ref="E167" authorId="0" shapeId="0">
      <text>
        <t>Principal = MIN(Opening, Payment - Interest)</t>
      </text>
    </comment>
    <comment ref="F167" authorId="0" shapeId="0">
      <text>
        <t>Closing = Opening - Principal</t>
      </text>
    </comment>
    <comment ref="C168" authorId="0" shapeId="0">
      <text>
        <t>Loan: TriState Capital, 3 Peterbilt 579 (Feb 2023). Source: Meiborg_Debt_Schedule_202511.xlsx</t>
      </text>
    </comment>
    <comment ref="D168" authorId="0" shapeId="0">
      <text>
        <t>Interest = Opening * Annual Rate / 12</t>
      </text>
    </comment>
    <comment ref="E168" authorId="0" shapeId="0">
      <text>
        <t>Principal = MIN(Opening, Payment - Interest)</t>
      </text>
    </comment>
    <comment ref="F168" authorId="0" shapeId="0">
      <text>
        <t>Closing = Opening - Principal</t>
      </text>
    </comment>
    <comment ref="C169" authorId="0" shapeId="0">
      <text>
        <t>Loan: TriState Capital, 3 Peterbilt 579 (Feb 2023). Source: Meiborg_Debt_Schedule_202511.xlsx</t>
      </text>
    </comment>
    <comment ref="D169" authorId="0" shapeId="0">
      <text>
        <t>Interest = Opening * Annual Rate / 12</t>
      </text>
    </comment>
    <comment ref="E169" authorId="0" shapeId="0">
      <text>
        <t>Principal = MIN(Opening, Payment - Interest)</t>
      </text>
    </comment>
    <comment ref="F169" authorId="0" shapeId="0">
      <text>
        <t>Closing = Opening - Principal</t>
      </text>
    </comment>
    <comment ref="C170" authorId="0" shapeId="0">
      <text>
        <t>Loan: TriState Capital, 3 Peterbilt 579 (Feb 2023). Source: Meiborg_Debt_Schedule_202511.xlsx</t>
      </text>
    </comment>
    <comment ref="D170" authorId="0" shapeId="0">
      <text>
        <t>Interest = Opening * Annual Rate / 12</t>
      </text>
    </comment>
    <comment ref="E170" authorId="0" shapeId="0">
      <text>
        <t>Principal = MIN(Opening, Payment - Interest)</t>
      </text>
    </comment>
    <comment ref="F170" authorId="0" shapeId="0">
      <text>
        <t>Closing = Opening - Principal</t>
      </text>
    </comment>
    <comment ref="C171" authorId="0" shapeId="0">
      <text>
        <t>Loan: TriState Capital, 3 Peterbilt 579 (Feb 2023). Source: Meiborg_Debt_Schedule_202511.xlsx</t>
      </text>
    </comment>
    <comment ref="D171" authorId="0" shapeId="0">
      <text>
        <t>Interest = Opening * Annual Rate / 12</t>
      </text>
    </comment>
    <comment ref="E171" authorId="0" shapeId="0">
      <text>
        <t>Principal = MIN(Opening, Payment - Interest)</t>
      </text>
    </comment>
    <comment ref="F171" authorId="0" shapeId="0">
      <text>
        <t>Closing = Opening - Principal</t>
      </text>
    </comment>
    <comment ref="C172" authorId="0" shapeId="0">
      <text>
        <t>Loan: TriState Capital, 3 Peterbilt 579 (Feb 2023). Source: Meiborg_Debt_Schedule_202511.xlsx</t>
      </text>
    </comment>
    <comment ref="D172" authorId="0" shapeId="0">
      <text>
        <t>Interest = Opening * Annual Rate / 12</t>
      </text>
    </comment>
    <comment ref="E172" authorId="0" shapeId="0">
      <text>
        <t>Principal = MIN(Opening, Payment - Interest)</t>
      </text>
    </comment>
    <comment ref="F172" authorId="0" shapeId="0">
      <text>
        <t>Closing = Opening - Principal</t>
      </text>
    </comment>
    <comment ref="C173" authorId="0" shapeId="0">
      <text>
        <t>Loan: TriState Capital, 3 Peterbilt 579 (Feb 2023). Source: Meiborg_Debt_Schedule_202511.xlsx</t>
      </text>
    </comment>
    <comment ref="D173" authorId="0" shapeId="0">
      <text>
        <t>Interest = Opening * Annual Rate / 12</t>
      </text>
    </comment>
    <comment ref="E173" authorId="0" shapeId="0">
      <text>
        <t>Principal = MIN(Opening, Payment - Interest)</t>
      </text>
    </comment>
    <comment ref="F173" authorId="0" shapeId="0">
      <text>
        <t>Closing = Opening - Principal</t>
      </text>
    </comment>
    <comment ref="C174" authorId="0" shapeId="0">
      <text>
        <t>Loan: TriState Capital, 3 Peterbilt 579 (Feb 2023). Source: Meiborg_Debt_Schedule_202511.xlsx</t>
      </text>
    </comment>
    <comment ref="D174" authorId="0" shapeId="0">
      <text>
        <t>Interest = Opening * Annual Rate / 12</t>
      </text>
    </comment>
    <comment ref="E174" authorId="0" shapeId="0">
      <text>
        <t>Principal = MIN(Opening, Payment - Interest)</t>
      </text>
    </comment>
    <comment ref="F174" authorId="0" shapeId="0">
      <text>
        <t>Closing = Opening - Principal</t>
      </text>
    </comment>
    <comment ref="C175" authorId="0" shapeId="0">
      <text>
        <t>Loan: TriState Capital, 3 Peterbilt 579 (Feb 2023). Source: Meiborg_Debt_Schedule_202511.xlsx</t>
      </text>
    </comment>
    <comment ref="D175" authorId="0" shapeId="0">
      <text>
        <t>Interest = Opening * Annual Rate / 12</t>
      </text>
    </comment>
    <comment ref="E175" authorId="0" shapeId="0">
      <text>
        <t>Principal = MIN(Opening, Payment - Interest)</t>
      </text>
    </comment>
    <comment ref="F175" authorId="0" shapeId="0">
      <text>
        <t>Closing = Opening - Principal</t>
      </text>
    </comment>
    <comment ref="C176" authorId="0" shapeId="0">
      <text>
        <t>Loan: TriState Capital, 3 Peterbilt 579 (Feb 2023). Source: Meiborg_Debt_Schedule_202511.xlsx</t>
      </text>
    </comment>
    <comment ref="D176" authorId="0" shapeId="0">
      <text>
        <t>Interest = Opening * Annual Rate / 12</t>
      </text>
    </comment>
    <comment ref="E176" authorId="0" shapeId="0">
      <text>
        <t>Principal = MIN(Opening, Payment - Interest)</t>
      </text>
    </comment>
    <comment ref="F176" authorId="0" shapeId="0">
      <text>
        <t>Closing = Opening - Principal</t>
      </text>
    </comment>
    <comment ref="C177" authorId="0" shapeId="0">
      <text>
        <t>Loan: TriState Capital, 3 Peterbilt 579 (Feb 2023). Source: Meiborg_Debt_Schedule_202511.xlsx</t>
      </text>
    </comment>
    <comment ref="D177" authorId="0" shapeId="0">
      <text>
        <t>Interest = Opening * Annual Rate / 12</t>
      </text>
    </comment>
    <comment ref="E177" authorId="0" shapeId="0">
      <text>
        <t>Principal = MIN(Opening, Payment - Interest)</t>
      </text>
    </comment>
    <comment ref="F177" authorId="0" shapeId="0">
      <text>
        <t>Closing = Opening - Principal</t>
      </text>
    </comment>
    <comment ref="C178" authorId="0" shapeId="0">
      <text>
        <t>Loan: TriState Capital, 3 Peterbilt 579 (Feb 2023). Source: Meiborg_Debt_Schedule_202511.xlsx</t>
      </text>
    </comment>
    <comment ref="D178" authorId="0" shapeId="0">
      <text>
        <t>Interest = Opening * Annual Rate / 12</t>
      </text>
    </comment>
    <comment ref="E178" authorId="0" shapeId="0">
      <text>
        <t>Principal = MIN(Opening, Payment - Interest)</t>
      </text>
    </comment>
    <comment ref="F178" authorId="0" shapeId="0">
      <text>
        <t>Closing = Opening - Principal</t>
      </text>
    </comment>
    <comment ref="C179" authorId="0" shapeId="0">
      <text>
        <t>Loan: TriState Capital, 3 Peterbilt 579 (Feb 2023). Source: Meiborg_Debt_Schedule_202511.xlsx</t>
      </text>
    </comment>
    <comment ref="D179" authorId="0" shapeId="0">
      <text>
        <t>Interest = Opening * Annual Rate / 12</t>
      </text>
    </comment>
    <comment ref="E179" authorId="0" shapeId="0">
      <text>
        <t>Principal = MIN(Opening, Payment - Interest)</t>
      </text>
    </comment>
    <comment ref="F179" authorId="0" shapeId="0">
      <text>
        <t>Closing = Opening - Principal</t>
      </text>
    </comment>
    <comment ref="C180" authorId="0" shapeId="0">
      <text>
        <t>Loan: TriState Capital, 3 Peterbilt 579 (Feb 2023). Source: Meiborg_Debt_Schedule_202511.xlsx</t>
      </text>
    </comment>
    <comment ref="D180" authorId="0" shapeId="0">
      <text>
        <t>Interest = Opening * Annual Rate / 12</t>
      </text>
    </comment>
    <comment ref="E180" authorId="0" shapeId="0">
      <text>
        <t>Principal = MIN(Opening, Payment - Interest)</t>
      </text>
    </comment>
    <comment ref="F180" authorId="0" shapeId="0">
      <text>
        <t>Closing = Opening - Principal</t>
      </text>
    </comment>
    <comment ref="C181" authorId="0" shapeId="0">
      <text>
        <t>Loan: TriState Capital, 3 Peterbilt 579 (Feb 2023). Source: Meiborg_Debt_Schedule_202511.xlsx</t>
      </text>
    </comment>
    <comment ref="D181" authorId="0" shapeId="0">
      <text>
        <t>Interest = Opening * Annual Rate / 12</t>
      </text>
    </comment>
    <comment ref="E181" authorId="0" shapeId="0">
      <text>
        <t>Principal = MIN(Opening, Payment - Interest)</t>
      </text>
    </comment>
    <comment ref="F181" authorId="0" shapeId="0">
      <text>
        <t>Closing = Opening - Principal</t>
      </text>
    </comment>
    <comment ref="C182" authorId="0" shapeId="0">
      <text>
        <t>Loan: TriState Capital, 3 Peterbilt 579 (Feb 2023). Source: Meiborg_Debt_Schedule_202511.xlsx</t>
      </text>
    </comment>
    <comment ref="D182" authorId="0" shapeId="0">
      <text>
        <t>Interest = Opening * Annual Rate / 12</t>
      </text>
    </comment>
    <comment ref="E182" authorId="0" shapeId="0">
      <text>
        <t>Principal = MIN(Opening, Payment - Interest)</t>
      </text>
    </comment>
    <comment ref="F182" authorId="0" shapeId="0">
      <text>
        <t>Closing = Opening - Principal</t>
      </text>
    </comment>
    <comment ref="C183" authorId="0" shapeId="0">
      <text>
        <t>Loan: TriState Capital, 3 Peterbilt 579 (Feb 2023). Source: Meiborg_Debt_Schedule_202511.xlsx</t>
      </text>
    </comment>
    <comment ref="D183" authorId="0" shapeId="0">
      <text>
        <t>Interest = Opening * Annual Rate / 12</t>
      </text>
    </comment>
    <comment ref="E183" authorId="0" shapeId="0">
      <text>
        <t>Principal = MIN(Opening, Payment - Interest)</t>
      </text>
    </comment>
    <comment ref="F183" authorId="0" shapeId="0">
      <text>
        <t>Closing = Opening - Principal</t>
      </text>
    </comment>
    <comment ref="C184" authorId="0" shapeId="0">
      <text>
        <t>Loan: TriState Capital, 3 Peterbilt 579 (Feb 2023). Source: Meiborg_Debt_Schedule_202511.xlsx</t>
      </text>
    </comment>
    <comment ref="D184" authorId="0" shapeId="0">
      <text>
        <t>Interest = Opening * Annual Rate / 12</t>
      </text>
    </comment>
    <comment ref="E184" authorId="0" shapeId="0">
      <text>
        <t>Principal = MIN(Opening, Payment - Interest)</t>
      </text>
    </comment>
    <comment ref="F184" authorId="0" shapeId="0">
      <text>
        <t>Closing = Opening - Principal</t>
      </text>
    </comment>
    <comment ref="C185" authorId="0" shapeId="0">
      <text>
        <t>Loan: TriState Capital, 3 Peterbilt 579 (Feb 2023). Source: Meiborg_Debt_Schedule_202511.xlsx</t>
      </text>
    </comment>
    <comment ref="D185" authorId="0" shapeId="0">
      <text>
        <t>Interest = Opening * Annual Rate / 12</t>
      </text>
    </comment>
    <comment ref="E185" authorId="0" shapeId="0">
      <text>
        <t>Principal = MIN(Opening, Payment - Interest)</t>
      </text>
    </comment>
    <comment ref="F185" authorId="0" shapeId="0">
      <text>
        <t>Closing = Opening - Principal</t>
      </text>
    </comment>
    <comment ref="C186" authorId="0" shapeId="0">
      <text>
        <t>Loan: TriState Capital, 3 Peterbilt 579 (Feb 2023). Source: Meiborg_Debt_Schedule_202511.xlsx</t>
      </text>
    </comment>
    <comment ref="D186" authorId="0" shapeId="0">
      <text>
        <t>Interest = Opening * Annual Rate / 12</t>
      </text>
    </comment>
    <comment ref="E186" authorId="0" shapeId="0">
      <text>
        <t>Principal = MIN(Opening, Payment - Interest)</t>
      </text>
    </comment>
    <comment ref="F186" authorId="0" shapeId="0">
      <text>
        <t>Closing = Opening - Principal</t>
      </text>
    </comment>
    <comment ref="C187" authorId="0" shapeId="0">
      <text>
        <t>Loan: TriState Capital, 3 Peterbilt 579 (Feb 2023). Source: Meiborg_Debt_Schedule_202511.xlsx</t>
      </text>
    </comment>
    <comment ref="D187" authorId="0" shapeId="0">
      <text>
        <t>Interest = Opening * Annual Rate / 12</t>
      </text>
    </comment>
    <comment ref="E187" authorId="0" shapeId="0">
      <text>
        <t>Principal = MIN(Opening, Payment - Interest)</t>
      </text>
    </comment>
    <comment ref="F187" authorId="0" shapeId="0">
      <text>
        <t>Closing = Opening - Principal</t>
      </text>
    </comment>
    <comment ref="C188" authorId="0" shapeId="0">
      <text>
        <t>Loan: TriState Capital, 3 Peterbilt 579 (Feb 2023). Source: Meiborg_Debt_Schedule_202511.xlsx</t>
      </text>
    </comment>
    <comment ref="D188" authorId="0" shapeId="0">
      <text>
        <t>Interest = Opening * Annual Rate / 12</t>
      </text>
    </comment>
    <comment ref="E188" authorId="0" shapeId="0">
      <text>
        <t>Principal = MIN(Opening, Payment - Interest)</t>
      </text>
    </comment>
    <comment ref="F188" authorId="0" shapeId="0">
      <text>
        <t>Closing = Opening - Principal</t>
      </text>
    </comment>
    <comment ref="C189" authorId="0" shapeId="0">
      <text>
        <t>Loan: TriState Capital, 3 Peterbilt 579 (Feb 2023). Source: Meiborg_Debt_Schedule_202511.xlsx</t>
      </text>
    </comment>
    <comment ref="D189" authorId="0" shapeId="0">
      <text>
        <t>Interest = Opening * Annual Rate / 12</t>
      </text>
    </comment>
    <comment ref="E189" authorId="0" shapeId="0">
      <text>
        <t>Principal = MIN(Opening, Payment - Interest)</t>
      </text>
    </comment>
    <comment ref="F189" authorId="0" shapeId="0">
      <text>
        <t>Closing = Opening - Principal</t>
      </text>
    </comment>
    <comment ref="C190" authorId="0" shapeId="0">
      <text>
        <t>Loan: TriState Capital, 3 Peterbilt 579 (Feb 2023). Source: Meiborg_Debt_Schedule_202511.xlsx</t>
      </text>
    </comment>
    <comment ref="D190" authorId="0" shapeId="0">
      <text>
        <t>Interest = Opening * Annual Rate / 12</t>
      </text>
    </comment>
    <comment ref="E190" authorId="0" shapeId="0">
      <text>
        <t>Principal = MIN(Opening, Payment - Interest)</t>
      </text>
    </comment>
    <comment ref="F190" authorId="0" shapeId="0">
      <text>
        <t>Closing = Opening - Principal</t>
      </text>
    </comment>
    <comment ref="C191" authorId="0" shapeId="0">
      <text>
        <t>Loan: TriState Capital, 3 Peterbilt 579 (Feb 2023). Source: Meiborg_Debt_Schedule_202511.xlsx</t>
      </text>
    </comment>
    <comment ref="D191" authorId="0" shapeId="0">
      <text>
        <t>Interest = Opening * Annual Rate / 12</t>
      </text>
    </comment>
    <comment ref="E191" authorId="0" shapeId="0">
      <text>
        <t>Principal = MIN(Opening, Payment - Interest)</t>
      </text>
    </comment>
    <comment ref="F191" authorId="0" shapeId="0">
      <text>
        <t>Closing = Opening - Principal</t>
      </text>
    </comment>
    <comment ref="C192" authorId="0" shapeId="0">
      <text>
        <t>Loan: TriState Capital, 3 Peterbilt 579 (Feb 2023). Source: Meiborg_Debt_Schedule_202511.xlsx</t>
      </text>
    </comment>
    <comment ref="D192" authorId="0" shapeId="0">
      <text>
        <t>Interest = Opening * Annual Rate / 12</t>
      </text>
    </comment>
    <comment ref="E192" authorId="0" shapeId="0">
      <text>
        <t>Principal = MIN(Opening, Payment - Interest)</t>
      </text>
    </comment>
    <comment ref="F192" authorId="0" shapeId="0">
      <text>
        <t>Closing = Opening - Principal</t>
      </text>
    </comment>
    <comment ref="C193" authorId="0" shapeId="0">
      <text>
        <t>Loan: TriState Capital, 3 Peterbilt 579 (Feb 2023). Source: Meiborg_Debt_Schedule_202511.xlsx</t>
      </text>
    </comment>
    <comment ref="D193" authorId="0" shapeId="0">
      <text>
        <t>Interest = Opening * Annual Rate / 12</t>
      </text>
    </comment>
    <comment ref="E193" authorId="0" shapeId="0">
      <text>
        <t>Principal = MIN(Opening, Payment - Interest)</t>
      </text>
    </comment>
    <comment ref="F193" authorId="0" shapeId="0">
      <text>
        <t>Closing = Opening - Principal</t>
      </text>
    </comment>
    <comment ref="C194" authorId="0" shapeId="0">
      <text>
        <t>Loan: TriState Capital, 3 Peterbilt 579 (Feb 2023). Source: Meiborg_Debt_Schedule_202511.xlsx</t>
      </text>
    </comment>
    <comment ref="D194" authorId="0" shapeId="0">
      <text>
        <t>Interest = Opening * Annual Rate / 12</t>
      </text>
    </comment>
    <comment ref="E194" authorId="0" shapeId="0">
      <text>
        <t>Principal = MIN(Opening, Payment - Interest)</t>
      </text>
    </comment>
    <comment ref="F194" authorId="0" shapeId="0">
      <text>
        <t>Closing = Opening - Principal</t>
      </text>
    </comment>
    <comment ref="D195" authorId="0" shapeId="0">
      <text>
        <t>Sum of rows 161-194: Total interest for 3 Peterbilt 579 (Feb 2023)</t>
      </text>
    </comment>
    <comment ref="E195" authorId="0" shapeId="0">
      <text>
        <t>Sum of rows 161-194: Total principal for 3 Peterbilt 579 (Feb 2023)</t>
      </text>
    </comment>
    <comment ref="B205" authorId="0" shapeId="0">
      <text>
        <t>Source: Meiborg_Debt_Schedule_202511.xlsx
Loan: 2 Peterbilt 579 (Feb 2023)</t>
      </text>
    </comment>
    <comment ref="B207" authorId="0" shapeId="0">
      <text>
        <t>Source: Meiborg_Debt_Schedule_202511.xlsx
Annual rate for 2 Peterbilt 579 (Feb 2023)</t>
      </text>
    </comment>
    <comment ref="C220" authorId="0" shapeId="0">
      <text>
        <t>Loan: TriState Capital, 2 Peterbilt 579 (Feb 2023). Source: Meiborg_Debt_Schedule_202511.xlsx</t>
      </text>
    </comment>
    <comment ref="D220" authorId="0" shapeId="0">
      <text>
        <t>Interest = Opening * Annual Rate / 12</t>
      </text>
    </comment>
    <comment ref="E220" authorId="0" shapeId="0">
      <text>
        <t>Principal = MIN(Opening, Payment - Interest)</t>
      </text>
    </comment>
    <comment ref="F220" authorId="0" shapeId="0">
      <text>
        <t>Closing = Opening - Principal</t>
      </text>
    </comment>
    <comment ref="C221" authorId="0" shapeId="0">
      <text>
        <t>Loan: TriState Capital, 2 Peterbilt 579 (Feb 2023). Source: Meiborg_Debt_Schedule_202511.xlsx</t>
      </text>
    </comment>
    <comment ref="D221" authorId="0" shapeId="0">
      <text>
        <t>Interest = Opening * Annual Rate / 12</t>
      </text>
    </comment>
    <comment ref="E221" authorId="0" shapeId="0">
      <text>
        <t>Principal = MIN(Opening, Payment - Interest)</t>
      </text>
    </comment>
    <comment ref="F221" authorId="0" shapeId="0">
      <text>
        <t>Closing = Opening - Principal</t>
      </text>
    </comment>
    <comment ref="C222" authorId="0" shapeId="0">
      <text>
        <t>Loan: TriState Capital, 2 Peterbilt 579 (Feb 2023). Source: Meiborg_Debt_Schedule_202511.xlsx</t>
      </text>
    </comment>
    <comment ref="D222" authorId="0" shapeId="0">
      <text>
        <t>Interest = Opening * Annual Rate / 12</t>
      </text>
    </comment>
    <comment ref="E222" authorId="0" shapeId="0">
      <text>
        <t>Principal = MIN(Opening, Payment - Interest)</t>
      </text>
    </comment>
    <comment ref="F222" authorId="0" shapeId="0">
      <text>
        <t>Closing = Opening - Principal</t>
      </text>
    </comment>
    <comment ref="C223" authorId="0" shapeId="0">
      <text>
        <t>Loan: TriState Capital, 2 Peterbilt 579 (Feb 2023). Source: Meiborg_Debt_Schedule_202511.xlsx</t>
      </text>
    </comment>
    <comment ref="D223" authorId="0" shapeId="0">
      <text>
        <t>Interest = Opening * Annual Rate / 12</t>
      </text>
    </comment>
    <comment ref="E223" authorId="0" shapeId="0">
      <text>
        <t>Principal = MIN(Opening, Payment - Interest)</t>
      </text>
    </comment>
    <comment ref="F223" authorId="0" shapeId="0">
      <text>
        <t>Closing = Opening - Principal</t>
      </text>
    </comment>
    <comment ref="C224" authorId="0" shapeId="0">
      <text>
        <t>Loan: TriState Capital, 2 Peterbilt 579 (Feb 2023). Source: Meiborg_Debt_Schedule_202511.xlsx</t>
      </text>
    </comment>
    <comment ref="D224" authorId="0" shapeId="0">
      <text>
        <t>Interest = Opening * Annual Rate / 12</t>
      </text>
    </comment>
    <comment ref="E224" authorId="0" shapeId="0">
      <text>
        <t>Principal = MIN(Opening, Payment - Interest)</t>
      </text>
    </comment>
    <comment ref="F224" authorId="0" shapeId="0">
      <text>
        <t>Closing = Opening - Principal</t>
      </text>
    </comment>
    <comment ref="C225" authorId="0" shapeId="0">
      <text>
        <t>Loan: TriState Capital, 2 Peterbilt 579 (Feb 2023). Source: Meiborg_Debt_Schedule_202511.xlsx</t>
      </text>
    </comment>
    <comment ref="D225" authorId="0" shapeId="0">
      <text>
        <t>Interest = Opening * Annual Rate / 12</t>
      </text>
    </comment>
    <comment ref="E225" authorId="0" shapeId="0">
      <text>
        <t>Principal = MIN(Opening, Payment - Interest)</t>
      </text>
    </comment>
    <comment ref="F225" authorId="0" shapeId="0">
      <text>
        <t>Closing = Opening - Principal</t>
      </text>
    </comment>
    <comment ref="C226" authorId="0" shapeId="0">
      <text>
        <t>Loan: TriState Capital, 2 Peterbilt 579 (Feb 2023). Source: Meiborg_Debt_Schedule_202511.xlsx</t>
      </text>
    </comment>
    <comment ref="D226" authorId="0" shapeId="0">
      <text>
        <t>Interest = Opening * Annual Rate / 12</t>
      </text>
    </comment>
    <comment ref="E226" authorId="0" shapeId="0">
      <text>
        <t>Principal = MIN(Opening, Payment - Interest)</t>
      </text>
    </comment>
    <comment ref="F226" authorId="0" shapeId="0">
      <text>
        <t>Closing = Opening - Principal</t>
      </text>
    </comment>
    <comment ref="C227" authorId="0" shapeId="0">
      <text>
        <t>Loan: TriState Capital, 2 Peterbilt 579 (Feb 2023). Source: Meiborg_Debt_Schedule_202511.xlsx</t>
      </text>
    </comment>
    <comment ref="D227" authorId="0" shapeId="0">
      <text>
        <t>Interest = Opening * Annual Rate / 12</t>
      </text>
    </comment>
    <comment ref="E227" authorId="0" shapeId="0">
      <text>
        <t>Principal = MIN(Opening, Payment - Interest)</t>
      </text>
    </comment>
    <comment ref="F227" authorId="0" shapeId="0">
      <text>
        <t>Closing = Opening - Principal</t>
      </text>
    </comment>
    <comment ref="C228" authorId="0" shapeId="0">
      <text>
        <t>Loan: TriState Capital, 2 Peterbilt 579 (Feb 2023). Source: Meiborg_Debt_Schedule_202511.xlsx</t>
      </text>
    </comment>
    <comment ref="D228" authorId="0" shapeId="0">
      <text>
        <t>Interest = Opening * Annual Rate / 12</t>
      </text>
    </comment>
    <comment ref="E228" authorId="0" shapeId="0">
      <text>
        <t>Principal = MIN(Opening, Payment - Interest)</t>
      </text>
    </comment>
    <comment ref="F228" authorId="0" shapeId="0">
      <text>
        <t>Closing = Opening - Principal</t>
      </text>
    </comment>
    <comment ref="C229" authorId="0" shapeId="0">
      <text>
        <t>Loan: TriState Capital, 2 Peterbilt 579 (Feb 2023). Source: Meiborg_Debt_Schedule_202511.xlsx</t>
      </text>
    </comment>
    <comment ref="D229" authorId="0" shapeId="0">
      <text>
        <t>Interest = Opening * Annual Rate / 12</t>
      </text>
    </comment>
    <comment ref="E229" authorId="0" shapeId="0">
      <text>
        <t>Principal = MIN(Opening, Payment - Interest)</t>
      </text>
    </comment>
    <comment ref="F229" authorId="0" shapeId="0">
      <text>
        <t>Closing = Opening - Principal</t>
      </text>
    </comment>
    <comment ref="C230" authorId="0" shapeId="0">
      <text>
        <t>Loan: TriState Capital, 2 Peterbilt 579 (Feb 2023). Source: Meiborg_Debt_Schedule_202511.xlsx</t>
      </text>
    </comment>
    <comment ref="D230" authorId="0" shapeId="0">
      <text>
        <t>Interest = Opening * Annual Rate / 12</t>
      </text>
    </comment>
    <comment ref="E230" authorId="0" shapeId="0">
      <text>
        <t>Principal = MIN(Opening, Payment - Interest)</t>
      </text>
    </comment>
    <comment ref="F230" authorId="0" shapeId="0">
      <text>
        <t>Closing = Opening - Principal</t>
      </text>
    </comment>
    <comment ref="C231" authorId="0" shapeId="0">
      <text>
        <t>Loan: TriState Capital, 2 Peterbilt 579 (Feb 2023). Source: Meiborg_Debt_Schedule_202511.xlsx</t>
      </text>
    </comment>
    <comment ref="D231" authorId="0" shapeId="0">
      <text>
        <t>Interest = Opening * Annual Rate / 12</t>
      </text>
    </comment>
    <comment ref="E231" authorId="0" shapeId="0">
      <text>
        <t>Principal = MIN(Opening, Payment - Interest)</t>
      </text>
    </comment>
    <comment ref="F231" authorId="0" shapeId="0">
      <text>
        <t>Closing = Opening - Principal</t>
      </text>
    </comment>
    <comment ref="C232" authorId="0" shapeId="0">
      <text>
        <t>Loan: TriState Capital, 2 Peterbilt 579 (Feb 2023). Source: Meiborg_Debt_Schedule_202511.xlsx</t>
      </text>
    </comment>
    <comment ref="D232" authorId="0" shapeId="0">
      <text>
        <t>Interest = Opening * Annual Rate / 12</t>
      </text>
    </comment>
    <comment ref="E232" authorId="0" shapeId="0">
      <text>
        <t>Principal = MIN(Opening, Payment - Interest)</t>
      </text>
    </comment>
    <comment ref="F232" authorId="0" shapeId="0">
      <text>
        <t>Closing = Opening - Principal</t>
      </text>
    </comment>
    <comment ref="C233" authorId="0" shapeId="0">
      <text>
        <t>Loan: TriState Capital, 2 Peterbilt 579 (Feb 2023). Source: Meiborg_Debt_Schedule_202511.xlsx</t>
      </text>
    </comment>
    <comment ref="D233" authorId="0" shapeId="0">
      <text>
        <t>Interest = Opening * Annual Rate / 12</t>
      </text>
    </comment>
    <comment ref="E233" authorId="0" shapeId="0">
      <text>
        <t>Principal = MIN(Opening, Payment - Interest)</t>
      </text>
    </comment>
    <comment ref="F233" authorId="0" shapeId="0">
      <text>
        <t>Closing = Opening - Principal</t>
      </text>
    </comment>
    <comment ref="C234" authorId="0" shapeId="0">
      <text>
        <t>Loan: TriState Capital, 2 Peterbilt 579 (Feb 2023). Source: Meiborg_Debt_Schedule_202511.xlsx</t>
      </text>
    </comment>
    <comment ref="D234" authorId="0" shapeId="0">
      <text>
        <t>Interest = Opening * Annual Rate / 12</t>
      </text>
    </comment>
    <comment ref="E234" authorId="0" shapeId="0">
      <text>
        <t>Principal = MIN(Opening, Payment - Interest)</t>
      </text>
    </comment>
    <comment ref="F234" authorId="0" shapeId="0">
      <text>
        <t>Closing = Opening - Principal</t>
      </text>
    </comment>
    <comment ref="C235" authorId="0" shapeId="0">
      <text>
        <t>Loan: TriState Capital, 2 Peterbilt 579 (Feb 2023). Source: Meiborg_Debt_Schedule_202511.xlsx</t>
      </text>
    </comment>
    <comment ref="D235" authorId="0" shapeId="0">
      <text>
        <t>Interest = Opening * Annual Rate / 12</t>
      </text>
    </comment>
    <comment ref="E235" authorId="0" shapeId="0">
      <text>
        <t>Principal = MIN(Opening, Payment - Interest)</t>
      </text>
    </comment>
    <comment ref="F235" authorId="0" shapeId="0">
      <text>
        <t>Closing = Opening - Principal</t>
      </text>
    </comment>
    <comment ref="C236" authorId="0" shapeId="0">
      <text>
        <t>Loan: TriState Capital, 2 Peterbilt 579 (Feb 2023). Source: Meiborg_Debt_Schedule_202511.xlsx</t>
      </text>
    </comment>
    <comment ref="D236" authorId="0" shapeId="0">
      <text>
        <t>Interest = Opening * Annual Rate / 12</t>
      </text>
    </comment>
    <comment ref="E236" authorId="0" shapeId="0">
      <text>
        <t>Principal = MIN(Opening, Payment - Interest)</t>
      </text>
    </comment>
    <comment ref="F236" authorId="0" shapeId="0">
      <text>
        <t>Closing = Opening - Principal</t>
      </text>
    </comment>
    <comment ref="C237" authorId="0" shapeId="0">
      <text>
        <t>Loan: TriState Capital, 2 Peterbilt 579 (Feb 2023). Source: Meiborg_Debt_Schedule_202511.xlsx</t>
      </text>
    </comment>
    <comment ref="D237" authorId="0" shapeId="0">
      <text>
        <t>Interest = Opening * Annual Rate / 12</t>
      </text>
    </comment>
    <comment ref="E237" authorId="0" shapeId="0">
      <text>
        <t>Principal = MIN(Opening, Payment - Interest)</t>
      </text>
    </comment>
    <comment ref="F237" authorId="0" shapeId="0">
      <text>
        <t>Closing = Opening - Principal</t>
      </text>
    </comment>
    <comment ref="C238" authorId="0" shapeId="0">
      <text>
        <t>Loan: TriState Capital, 2 Peterbilt 579 (Feb 2023). Source: Meiborg_Debt_Schedule_202511.xlsx</t>
      </text>
    </comment>
    <comment ref="D238" authorId="0" shapeId="0">
      <text>
        <t>Interest = Opening * Annual Rate / 12</t>
      </text>
    </comment>
    <comment ref="E238" authorId="0" shapeId="0">
      <text>
        <t>Principal = MIN(Opening, Payment - Interest)</t>
      </text>
    </comment>
    <comment ref="F238" authorId="0" shapeId="0">
      <text>
        <t>Closing = Opening - Principal</t>
      </text>
    </comment>
    <comment ref="C239" authorId="0" shapeId="0">
      <text>
        <t>Loan: TriState Capital, 2 Peterbilt 579 (Feb 2023). Source: Meiborg_Debt_Schedule_202511.xlsx</t>
      </text>
    </comment>
    <comment ref="D239" authorId="0" shapeId="0">
      <text>
        <t>Interest = Opening * Annual Rate / 12</t>
      </text>
    </comment>
    <comment ref="E239" authorId="0" shapeId="0">
      <text>
        <t>Principal = MIN(Opening, Payment - Interest)</t>
      </text>
    </comment>
    <comment ref="F239" authorId="0" shapeId="0">
      <text>
        <t>Closing = Opening - Principal</t>
      </text>
    </comment>
    <comment ref="C240" authorId="0" shapeId="0">
      <text>
        <t>Loan: TriState Capital, 2 Peterbilt 579 (Feb 2023). Source: Meiborg_Debt_Schedule_202511.xlsx</t>
      </text>
    </comment>
    <comment ref="D240" authorId="0" shapeId="0">
      <text>
        <t>Interest = Opening * Annual Rate / 12</t>
      </text>
    </comment>
    <comment ref="E240" authorId="0" shapeId="0">
      <text>
        <t>Principal = MIN(Opening, Payment - Interest)</t>
      </text>
    </comment>
    <comment ref="F240" authorId="0" shapeId="0">
      <text>
        <t>Closing = Opening - Principal</t>
      </text>
    </comment>
    <comment ref="C241" authorId="0" shapeId="0">
      <text>
        <t>Loan: TriState Capital, 2 Peterbilt 579 (Feb 2023). Source: Meiborg_Debt_Schedule_202511.xlsx</t>
      </text>
    </comment>
    <comment ref="D241" authorId="0" shapeId="0">
      <text>
        <t>Interest = Opening * Annual Rate / 12</t>
      </text>
    </comment>
    <comment ref="E241" authorId="0" shapeId="0">
      <text>
        <t>Principal = MIN(Opening, Payment - Interest)</t>
      </text>
    </comment>
    <comment ref="F241" authorId="0" shapeId="0">
      <text>
        <t>Closing = Opening - Principal</t>
      </text>
    </comment>
    <comment ref="C242" authorId="0" shapeId="0">
      <text>
        <t>Loan: TriState Capital, 2 Peterbilt 579 (Feb 2023). Source: Meiborg_Debt_Schedule_202511.xlsx</t>
      </text>
    </comment>
    <comment ref="D242" authorId="0" shapeId="0">
      <text>
        <t>Interest = Opening * Annual Rate / 12</t>
      </text>
    </comment>
    <comment ref="E242" authorId="0" shapeId="0">
      <text>
        <t>Principal = MIN(Opening, Payment - Interest)</t>
      </text>
    </comment>
    <comment ref="F242" authorId="0" shapeId="0">
      <text>
        <t>Closing = Opening - Principal</t>
      </text>
    </comment>
    <comment ref="C243" authorId="0" shapeId="0">
      <text>
        <t>Loan: TriState Capital, 2 Peterbilt 579 (Feb 2023). Source: Meiborg_Debt_Schedule_202511.xlsx</t>
      </text>
    </comment>
    <comment ref="D243" authorId="0" shapeId="0">
      <text>
        <t>Interest = Opening * Annual Rate / 12</t>
      </text>
    </comment>
    <comment ref="E243" authorId="0" shapeId="0">
      <text>
        <t>Principal = MIN(Opening, Payment - Interest)</t>
      </text>
    </comment>
    <comment ref="F243" authorId="0" shapeId="0">
      <text>
        <t>Closing = Opening - Principal</t>
      </text>
    </comment>
    <comment ref="C244" authorId="0" shapeId="0">
      <text>
        <t>Loan: TriState Capital, 2 Peterbilt 579 (Feb 2023). Source: Meiborg_Debt_Schedule_202511.xlsx</t>
      </text>
    </comment>
    <comment ref="D244" authorId="0" shapeId="0">
      <text>
        <t>Interest = Opening * Annual Rate / 12</t>
      </text>
    </comment>
    <comment ref="E244" authorId="0" shapeId="0">
      <text>
        <t>Principal = MIN(Opening, Payment - Interest)</t>
      </text>
    </comment>
    <comment ref="F244" authorId="0" shapeId="0">
      <text>
        <t>Closing = Opening - Principal</t>
      </text>
    </comment>
    <comment ref="C245" authorId="0" shapeId="0">
      <text>
        <t>Loan: TriState Capital, 2 Peterbilt 579 (Feb 2023). Source: Meiborg_Debt_Schedule_202511.xlsx</t>
      </text>
    </comment>
    <comment ref="D245" authorId="0" shapeId="0">
      <text>
        <t>Interest = Opening * Annual Rate / 12</t>
      </text>
    </comment>
    <comment ref="E245" authorId="0" shapeId="0">
      <text>
        <t>Principal = MIN(Opening, Payment - Interest)</t>
      </text>
    </comment>
    <comment ref="F245" authorId="0" shapeId="0">
      <text>
        <t>Closing = Opening - Principal</t>
      </text>
    </comment>
    <comment ref="C246" authorId="0" shapeId="0">
      <text>
        <t>Loan: TriState Capital, 2 Peterbilt 579 (Feb 2023). Source: Meiborg_Debt_Schedule_202511.xlsx</t>
      </text>
    </comment>
    <comment ref="D246" authorId="0" shapeId="0">
      <text>
        <t>Interest = Opening * Annual Rate / 12</t>
      </text>
    </comment>
    <comment ref="E246" authorId="0" shapeId="0">
      <text>
        <t>Principal = MIN(Opening, Payment - Interest)</t>
      </text>
    </comment>
    <comment ref="F246" authorId="0" shapeId="0">
      <text>
        <t>Closing = Opening - Principal</t>
      </text>
    </comment>
    <comment ref="C247" authorId="0" shapeId="0">
      <text>
        <t>Loan: TriState Capital, 2 Peterbilt 579 (Feb 2023). Source: Meiborg_Debt_Schedule_202511.xlsx</t>
      </text>
    </comment>
    <comment ref="D247" authorId="0" shapeId="0">
      <text>
        <t>Interest = Opening * Annual Rate / 12</t>
      </text>
    </comment>
    <comment ref="E247" authorId="0" shapeId="0">
      <text>
        <t>Principal = MIN(Opening, Payment - Interest)</t>
      </text>
    </comment>
    <comment ref="F247" authorId="0" shapeId="0">
      <text>
        <t>Closing = Opening - Principal</t>
      </text>
    </comment>
    <comment ref="C248" authorId="0" shapeId="0">
      <text>
        <t>Loan: TriState Capital, 2 Peterbilt 579 (Feb 2023). Source: Meiborg_Debt_Schedule_202511.xlsx</t>
      </text>
    </comment>
    <comment ref="D248" authorId="0" shapeId="0">
      <text>
        <t>Interest = Opening * Annual Rate / 12</t>
      </text>
    </comment>
    <comment ref="E248" authorId="0" shapeId="0">
      <text>
        <t>Principal = MIN(Opening, Payment - Interest)</t>
      </text>
    </comment>
    <comment ref="F248" authorId="0" shapeId="0">
      <text>
        <t>Closing = Opening - Principal</t>
      </text>
    </comment>
    <comment ref="C249" authorId="0" shapeId="0">
      <text>
        <t>Loan: TriState Capital, 2 Peterbilt 579 (Feb 2023). Source: Meiborg_Debt_Schedule_202511.xlsx</t>
      </text>
    </comment>
    <comment ref="D249" authorId="0" shapeId="0">
      <text>
        <t>Interest = Opening * Annual Rate / 12</t>
      </text>
    </comment>
    <comment ref="E249" authorId="0" shapeId="0">
      <text>
        <t>Principal = MIN(Opening, Payment - Interest)</t>
      </text>
    </comment>
    <comment ref="F249" authorId="0" shapeId="0">
      <text>
        <t>Closing = Opening - Principal</t>
      </text>
    </comment>
    <comment ref="C250" authorId="0" shapeId="0">
      <text>
        <t>Loan: TriState Capital, 2 Peterbilt 579 (Feb 2023). Source: Meiborg_Debt_Schedule_202511.xlsx</t>
      </text>
    </comment>
    <comment ref="D250" authorId="0" shapeId="0">
      <text>
        <t>Interest = Opening * Annual Rate / 12</t>
      </text>
    </comment>
    <comment ref="E250" authorId="0" shapeId="0">
      <text>
        <t>Principal = MIN(Opening, Payment - Interest)</t>
      </text>
    </comment>
    <comment ref="F250" authorId="0" shapeId="0">
      <text>
        <t>Closing = Opening - Principal</t>
      </text>
    </comment>
    <comment ref="C251" authorId="0" shapeId="0">
      <text>
        <t>Loan: TriState Capital, 2 Peterbilt 579 (Feb 2023). Source: Meiborg_Debt_Schedule_202511.xlsx</t>
      </text>
    </comment>
    <comment ref="D251" authorId="0" shapeId="0">
      <text>
        <t>Interest = Opening * Annual Rate / 12</t>
      </text>
    </comment>
    <comment ref="E251" authorId="0" shapeId="0">
      <text>
        <t>Principal = MIN(Opening, Payment - Interest)</t>
      </text>
    </comment>
    <comment ref="F251" authorId="0" shapeId="0">
      <text>
        <t>Closing = Opening - Principal</t>
      </text>
    </comment>
    <comment ref="C252" authorId="0" shapeId="0">
      <text>
        <t>Loan: TriState Capital, 2 Peterbilt 579 (Feb 2023). Source: Meiborg_Debt_Schedule_202511.xlsx</t>
      </text>
    </comment>
    <comment ref="D252" authorId="0" shapeId="0">
      <text>
        <t>Interest = Opening * Annual Rate / 12</t>
      </text>
    </comment>
    <comment ref="E252" authorId="0" shapeId="0">
      <text>
        <t>Principal = MIN(Opening, Payment - Interest)</t>
      </text>
    </comment>
    <comment ref="F252" authorId="0" shapeId="0">
      <text>
        <t>Closing = Opening - Principal</t>
      </text>
    </comment>
    <comment ref="C253" authorId="0" shapeId="0">
      <text>
        <t>Loan: TriState Capital, 2 Peterbilt 579 (Feb 2023). Source: Meiborg_Debt_Schedule_202511.xlsx</t>
      </text>
    </comment>
    <comment ref="D253" authorId="0" shapeId="0">
      <text>
        <t>Interest = Opening * Annual Rate / 12</t>
      </text>
    </comment>
    <comment ref="E253" authorId="0" shapeId="0">
      <text>
        <t>Principal = MIN(Opening, Payment - Interest)</t>
      </text>
    </comment>
    <comment ref="F253" authorId="0" shapeId="0">
      <text>
        <t>Closing = Opening - Principal</t>
      </text>
    </comment>
    <comment ref="C254" authorId="0" shapeId="0">
      <text>
        <t>Loan: TriState Capital, 2 Peterbilt 579 (Feb 2023). Source: Meiborg_Debt_Schedule_202511.xlsx</t>
      </text>
    </comment>
    <comment ref="D254" authorId="0" shapeId="0">
      <text>
        <t>Interest = Opening * Annual Rate / 12</t>
      </text>
    </comment>
    <comment ref="E254" authorId="0" shapeId="0">
      <text>
        <t>Principal = MIN(Opening, Payment - Interest)</t>
      </text>
    </comment>
    <comment ref="F254" authorId="0" shapeId="0">
      <text>
        <t>Closing = Opening - Principal</t>
      </text>
    </comment>
    <comment ref="D255" authorId="0" shapeId="0">
      <text>
        <t>Sum of rows 220-254: Total interest for 2 Peterbilt 579 (Feb 2023)</t>
      </text>
    </comment>
    <comment ref="E255" authorId="0" shapeId="0">
      <text>
        <t>Sum of rows 220-254: Total principal for 2 Peterbilt 579 (Feb 2023)</t>
      </text>
    </comment>
    <comment ref="B265" authorId="0" shapeId="0">
      <text>
        <t>Source: Meiborg_Debt_Schedule_202511.xlsx
Loan: 25 Trailers (April 2023)</t>
      </text>
    </comment>
    <comment ref="B267" authorId="0" shapeId="0">
      <text>
        <t>Source: Meiborg_Debt_Schedule_202511.xlsx
Annual rate for 25 Trailers (April 2023)</t>
      </text>
    </comment>
    <comment ref="C280" authorId="0" shapeId="0">
      <text>
        <t>Loan: TriState Capital, 25 Trailers (April 2023). Source: Meiborg_Debt_Schedule_202511.xlsx</t>
      </text>
    </comment>
    <comment ref="D280" authorId="0" shapeId="0">
      <text>
        <t>Interest = Opening * Annual Rate / 12</t>
      </text>
    </comment>
    <comment ref="E280" authorId="0" shapeId="0">
      <text>
        <t>Principal = MIN(Opening, Payment - Interest)</t>
      </text>
    </comment>
    <comment ref="F280" authorId="0" shapeId="0">
      <text>
        <t>Closing = Opening - Principal</t>
      </text>
    </comment>
    <comment ref="C281" authorId="0" shapeId="0">
      <text>
        <t>Loan: TriState Capital, 25 Trailers (April 2023). Source: Meiborg_Debt_Schedule_202511.xlsx</t>
      </text>
    </comment>
    <comment ref="D281" authorId="0" shapeId="0">
      <text>
        <t>Interest = Opening * Annual Rate / 12</t>
      </text>
    </comment>
    <comment ref="E281" authorId="0" shapeId="0">
      <text>
        <t>Principal = MIN(Opening, Payment - Interest)</t>
      </text>
    </comment>
    <comment ref="F281" authorId="0" shapeId="0">
      <text>
        <t>Closing = Opening - Principal</t>
      </text>
    </comment>
    <comment ref="C282" authorId="0" shapeId="0">
      <text>
        <t>Loan: TriState Capital, 25 Trailers (April 2023). Source: Meiborg_Debt_Schedule_202511.xlsx</t>
      </text>
    </comment>
    <comment ref="D282" authorId="0" shapeId="0">
      <text>
        <t>Interest = Opening * Annual Rate / 12</t>
      </text>
    </comment>
    <comment ref="E282" authorId="0" shapeId="0">
      <text>
        <t>Principal = MIN(Opening, Payment - Interest)</t>
      </text>
    </comment>
    <comment ref="F282" authorId="0" shapeId="0">
      <text>
        <t>Closing = Opening - Principal</t>
      </text>
    </comment>
    <comment ref="C283" authorId="0" shapeId="0">
      <text>
        <t>Loan: TriState Capital, 25 Trailers (April 2023). Source: Meiborg_Debt_Schedule_202511.xlsx</t>
      </text>
    </comment>
    <comment ref="D283" authorId="0" shapeId="0">
      <text>
        <t>Interest = Opening * Annual Rate / 12</t>
      </text>
    </comment>
    <comment ref="E283" authorId="0" shapeId="0">
      <text>
        <t>Principal = MIN(Opening, Payment - Interest)</t>
      </text>
    </comment>
    <comment ref="F283" authorId="0" shapeId="0">
      <text>
        <t>Closing = Opening - Principal</t>
      </text>
    </comment>
    <comment ref="C284" authorId="0" shapeId="0">
      <text>
        <t>Loan: TriState Capital, 25 Trailers (April 2023). Source: Meiborg_Debt_Schedule_202511.xlsx</t>
      </text>
    </comment>
    <comment ref="D284" authorId="0" shapeId="0">
      <text>
        <t>Interest = Opening * Annual Rate / 12</t>
      </text>
    </comment>
    <comment ref="E284" authorId="0" shapeId="0">
      <text>
        <t>Principal = MIN(Opening, Payment - Interest)</t>
      </text>
    </comment>
    <comment ref="F284" authorId="0" shapeId="0">
      <text>
        <t>Closing = Opening - Principal</t>
      </text>
    </comment>
    <comment ref="C285" authorId="0" shapeId="0">
      <text>
        <t>Loan: TriState Capital, 25 Trailers (April 2023). Source: Meiborg_Debt_Schedule_202511.xlsx</t>
      </text>
    </comment>
    <comment ref="D285" authorId="0" shapeId="0">
      <text>
        <t>Interest = Opening * Annual Rate / 12</t>
      </text>
    </comment>
    <comment ref="E285" authorId="0" shapeId="0">
      <text>
        <t>Principal = MIN(Opening, Payment - Interest)</t>
      </text>
    </comment>
    <comment ref="F285" authorId="0" shapeId="0">
      <text>
        <t>Closing = Opening - Principal</t>
      </text>
    </comment>
    <comment ref="C286" authorId="0" shapeId="0">
      <text>
        <t>Loan: TriState Capital, 25 Trailers (April 2023). Source: Meiborg_Debt_Schedule_202511.xlsx</t>
      </text>
    </comment>
    <comment ref="D286" authorId="0" shapeId="0">
      <text>
        <t>Interest = Opening * Annual Rate / 12</t>
      </text>
    </comment>
    <comment ref="E286" authorId="0" shapeId="0">
      <text>
        <t>Principal = MIN(Opening, Payment - Interest)</t>
      </text>
    </comment>
    <comment ref="F286" authorId="0" shapeId="0">
      <text>
        <t>Closing = Opening - Principal</t>
      </text>
    </comment>
    <comment ref="C287" authorId="0" shapeId="0">
      <text>
        <t>Loan: TriState Capital, 25 Trailers (April 2023). Source: Meiborg_Debt_Schedule_202511.xlsx</t>
      </text>
    </comment>
    <comment ref="D287" authorId="0" shapeId="0">
      <text>
        <t>Interest = Opening * Annual Rate / 12</t>
      </text>
    </comment>
    <comment ref="E287" authorId="0" shapeId="0">
      <text>
        <t>Principal = MIN(Opening, Payment - Interest)</t>
      </text>
    </comment>
    <comment ref="F287" authorId="0" shapeId="0">
      <text>
        <t>Closing = Opening - Principal</t>
      </text>
    </comment>
    <comment ref="C288" authorId="0" shapeId="0">
      <text>
        <t>Loan: TriState Capital, 25 Trailers (April 2023). Source: Meiborg_Debt_Schedule_202511.xlsx</t>
      </text>
    </comment>
    <comment ref="D288" authorId="0" shapeId="0">
      <text>
        <t>Interest = Opening * Annual Rate / 12</t>
      </text>
    </comment>
    <comment ref="E288" authorId="0" shapeId="0">
      <text>
        <t>Principal = MIN(Opening, Payment - Interest)</t>
      </text>
    </comment>
    <comment ref="F288" authorId="0" shapeId="0">
      <text>
        <t>Closing = Opening - Principal</t>
      </text>
    </comment>
    <comment ref="C289" authorId="0" shapeId="0">
      <text>
        <t>Loan: TriState Capital, 25 Trailers (April 2023). Source: Meiborg_Debt_Schedule_202511.xlsx</t>
      </text>
    </comment>
    <comment ref="D289" authorId="0" shapeId="0">
      <text>
        <t>Interest = Opening * Annual Rate / 12</t>
      </text>
    </comment>
    <comment ref="E289" authorId="0" shapeId="0">
      <text>
        <t>Principal = MIN(Opening, Payment - Interest)</t>
      </text>
    </comment>
    <comment ref="F289" authorId="0" shapeId="0">
      <text>
        <t>Closing = Opening - Principal</t>
      </text>
    </comment>
    <comment ref="C290" authorId="0" shapeId="0">
      <text>
        <t>Loan: TriState Capital, 25 Trailers (April 2023). Source: Meiborg_Debt_Schedule_202511.xlsx</t>
      </text>
    </comment>
    <comment ref="D290" authorId="0" shapeId="0">
      <text>
        <t>Interest = Opening * Annual Rate / 12</t>
      </text>
    </comment>
    <comment ref="E290" authorId="0" shapeId="0">
      <text>
        <t>Principal = MIN(Opening, Payment - Interest)</t>
      </text>
    </comment>
    <comment ref="F290" authorId="0" shapeId="0">
      <text>
        <t>Closing = Opening - Principal</t>
      </text>
    </comment>
    <comment ref="C291" authorId="0" shapeId="0">
      <text>
        <t>Loan: TriState Capital, 25 Trailers (April 2023). Source: Meiborg_Debt_Schedule_202511.xlsx</t>
      </text>
    </comment>
    <comment ref="D291" authorId="0" shapeId="0">
      <text>
        <t>Interest = Opening * Annual Rate / 12</t>
      </text>
    </comment>
    <comment ref="E291" authorId="0" shapeId="0">
      <text>
        <t>Principal = MIN(Opening, Payment - Interest)</t>
      </text>
    </comment>
    <comment ref="F291" authorId="0" shapeId="0">
      <text>
        <t>Closing = Opening - Principal</t>
      </text>
    </comment>
    <comment ref="C292" authorId="0" shapeId="0">
      <text>
        <t>Loan: TriState Capital, 25 Trailers (April 2023). Source: Meiborg_Debt_Schedule_202511.xlsx</t>
      </text>
    </comment>
    <comment ref="D292" authorId="0" shapeId="0">
      <text>
        <t>Interest = Opening * Annual Rate / 12</t>
      </text>
    </comment>
    <comment ref="E292" authorId="0" shapeId="0">
      <text>
        <t>Principal = MIN(Opening, Payment - Interest)</t>
      </text>
    </comment>
    <comment ref="F292" authorId="0" shapeId="0">
      <text>
        <t>Closing = Opening - Principal</t>
      </text>
    </comment>
    <comment ref="C293" authorId="0" shapeId="0">
      <text>
        <t>Loan: TriState Capital, 25 Trailers (April 2023). Source: Meiborg_Debt_Schedule_202511.xlsx</t>
      </text>
    </comment>
    <comment ref="D293" authorId="0" shapeId="0">
      <text>
        <t>Interest = Opening * Annual Rate / 12</t>
      </text>
    </comment>
    <comment ref="E293" authorId="0" shapeId="0">
      <text>
        <t>Principal = MIN(Opening, Payment - Interest)</t>
      </text>
    </comment>
    <comment ref="F293" authorId="0" shapeId="0">
      <text>
        <t>Closing = Opening - Principal</t>
      </text>
    </comment>
    <comment ref="C294" authorId="0" shapeId="0">
      <text>
        <t>Loan: TriState Capital, 25 Trailers (April 2023). Source: Meiborg_Debt_Schedule_202511.xlsx</t>
      </text>
    </comment>
    <comment ref="D294" authorId="0" shapeId="0">
      <text>
        <t>Interest = Opening * Annual Rate / 12</t>
      </text>
    </comment>
    <comment ref="E294" authorId="0" shapeId="0">
      <text>
        <t>Principal = MIN(Opening, Payment - Interest)</t>
      </text>
    </comment>
    <comment ref="F294" authorId="0" shapeId="0">
      <text>
        <t>Closing = Opening - Principal</t>
      </text>
    </comment>
    <comment ref="C295" authorId="0" shapeId="0">
      <text>
        <t>Loan: TriState Capital, 25 Trailers (April 2023). Source: Meiborg_Debt_Schedule_202511.xlsx</t>
      </text>
    </comment>
    <comment ref="D295" authorId="0" shapeId="0">
      <text>
        <t>Interest = Opening * Annual Rate / 12</t>
      </text>
    </comment>
    <comment ref="E295" authorId="0" shapeId="0">
      <text>
        <t>Principal = MIN(Opening, Payment - Interest)</t>
      </text>
    </comment>
    <comment ref="F295" authorId="0" shapeId="0">
      <text>
        <t>Closing = Opening - Principal</t>
      </text>
    </comment>
    <comment ref="C296" authorId="0" shapeId="0">
      <text>
        <t>Loan: TriState Capital, 25 Trailers (April 2023). Source: Meiborg_Debt_Schedule_202511.xlsx</t>
      </text>
    </comment>
    <comment ref="D296" authorId="0" shapeId="0">
      <text>
        <t>Interest = Opening * Annual Rate / 12</t>
      </text>
    </comment>
    <comment ref="E296" authorId="0" shapeId="0">
      <text>
        <t>Principal = MIN(Opening, Payment - Interest)</t>
      </text>
    </comment>
    <comment ref="F296" authorId="0" shapeId="0">
      <text>
        <t>Closing = Opening - Principal</t>
      </text>
    </comment>
    <comment ref="C297" authorId="0" shapeId="0">
      <text>
        <t>Loan: TriState Capital, 25 Trailers (April 2023). Source: Meiborg_Debt_Schedule_202511.xlsx</t>
      </text>
    </comment>
    <comment ref="D297" authorId="0" shapeId="0">
      <text>
        <t>Interest = Opening * Annual Rate / 12</t>
      </text>
    </comment>
    <comment ref="E297" authorId="0" shapeId="0">
      <text>
        <t>Principal = MIN(Opening, Payment - Interest)</t>
      </text>
    </comment>
    <comment ref="F297" authorId="0" shapeId="0">
      <text>
        <t>Closing = Opening - Principal</t>
      </text>
    </comment>
    <comment ref="C298" authorId="0" shapeId="0">
      <text>
        <t>Loan: TriState Capital, 25 Trailers (April 2023). Source: Meiborg_Debt_Schedule_202511.xlsx</t>
      </text>
    </comment>
    <comment ref="D298" authorId="0" shapeId="0">
      <text>
        <t>Interest = Opening * Annual Rate / 12</t>
      </text>
    </comment>
    <comment ref="E298" authorId="0" shapeId="0">
      <text>
        <t>Principal = MIN(Opening, Payment - Interest)</t>
      </text>
    </comment>
    <comment ref="F298" authorId="0" shapeId="0">
      <text>
        <t>Closing = Opening - Principal</t>
      </text>
    </comment>
    <comment ref="C299" authorId="0" shapeId="0">
      <text>
        <t>Loan: TriState Capital, 25 Trailers (April 2023). Source: Meiborg_Debt_Schedule_202511.xlsx</t>
      </text>
    </comment>
    <comment ref="D299" authorId="0" shapeId="0">
      <text>
        <t>Interest = Opening * Annual Rate / 12</t>
      </text>
    </comment>
    <comment ref="E299" authorId="0" shapeId="0">
      <text>
        <t>Principal = MIN(Opening, Payment - Interest)</t>
      </text>
    </comment>
    <comment ref="F299" authorId="0" shapeId="0">
      <text>
        <t>Closing = Opening - Principal</t>
      </text>
    </comment>
    <comment ref="C300" authorId="0" shapeId="0">
      <text>
        <t>Loan: TriState Capital, 25 Trailers (April 2023). Source: Meiborg_Debt_Schedule_202511.xlsx</t>
      </text>
    </comment>
    <comment ref="D300" authorId="0" shapeId="0">
      <text>
        <t>Interest = Opening * Annual Rate / 12</t>
      </text>
    </comment>
    <comment ref="E300" authorId="0" shapeId="0">
      <text>
        <t>Principal = MIN(Opening, Payment - Interest)</t>
      </text>
    </comment>
    <comment ref="F300" authorId="0" shapeId="0">
      <text>
        <t>Closing = Opening - Principal</t>
      </text>
    </comment>
    <comment ref="C301" authorId="0" shapeId="0">
      <text>
        <t>Loan: TriState Capital, 25 Trailers (April 2023). Source: Meiborg_Debt_Schedule_202511.xlsx</t>
      </text>
    </comment>
    <comment ref="D301" authorId="0" shapeId="0">
      <text>
        <t>Interest = Opening * Annual Rate / 12</t>
      </text>
    </comment>
    <comment ref="E301" authorId="0" shapeId="0">
      <text>
        <t>Principal = MIN(Opening, Payment - Interest)</t>
      </text>
    </comment>
    <comment ref="F301" authorId="0" shapeId="0">
      <text>
        <t>Closing = Opening - Principal</t>
      </text>
    </comment>
    <comment ref="C302" authorId="0" shapeId="0">
      <text>
        <t>Loan: TriState Capital, 25 Trailers (April 2023). Source: Meiborg_Debt_Schedule_202511.xlsx</t>
      </text>
    </comment>
    <comment ref="D302" authorId="0" shapeId="0">
      <text>
        <t>Interest = Opening * Annual Rate / 12</t>
      </text>
    </comment>
    <comment ref="E302" authorId="0" shapeId="0">
      <text>
        <t>Principal = MIN(Opening, Payment - Interest)</t>
      </text>
    </comment>
    <comment ref="F302" authorId="0" shapeId="0">
      <text>
        <t>Closing = Opening - Principal</t>
      </text>
    </comment>
    <comment ref="C303" authorId="0" shapeId="0">
      <text>
        <t>Loan: TriState Capital, 25 Trailers (April 2023). Source: Meiborg_Debt_Schedule_202511.xlsx</t>
      </text>
    </comment>
    <comment ref="D303" authorId="0" shapeId="0">
      <text>
        <t>Interest = Opening * Annual Rate / 12</t>
      </text>
    </comment>
    <comment ref="E303" authorId="0" shapeId="0">
      <text>
        <t>Principal = MIN(Opening, Payment - Interest)</t>
      </text>
    </comment>
    <comment ref="F303" authorId="0" shapeId="0">
      <text>
        <t>Closing = Opening - Principal</t>
      </text>
    </comment>
    <comment ref="C304" authorId="0" shapeId="0">
      <text>
        <t>Loan: TriState Capital, 25 Trailers (April 2023). Source: Meiborg_Debt_Schedule_202511.xlsx</t>
      </text>
    </comment>
    <comment ref="D304" authorId="0" shapeId="0">
      <text>
        <t>Interest = Opening * Annual Rate / 12</t>
      </text>
    </comment>
    <comment ref="E304" authorId="0" shapeId="0">
      <text>
        <t>Principal = MIN(Opening, Payment - Interest)</t>
      </text>
    </comment>
    <comment ref="F304" authorId="0" shapeId="0">
      <text>
        <t>Closing = Opening - Principal</t>
      </text>
    </comment>
    <comment ref="C305" authorId="0" shapeId="0">
      <text>
        <t>Loan: TriState Capital, 25 Trailers (April 2023). Source: Meiborg_Debt_Schedule_202511.xlsx</t>
      </text>
    </comment>
    <comment ref="D305" authorId="0" shapeId="0">
      <text>
        <t>Interest = Opening * Annual Rate / 12</t>
      </text>
    </comment>
    <comment ref="E305" authorId="0" shapeId="0">
      <text>
        <t>Principal = MIN(Opening, Payment - Interest)</t>
      </text>
    </comment>
    <comment ref="F305" authorId="0" shapeId="0">
      <text>
        <t>Closing = Opening - Principal</t>
      </text>
    </comment>
    <comment ref="C306" authorId="0" shapeId="0">
      <text>
        <t>Loan: TriState Capital, 25 Trailers (April 2023). Source: Meiborg_Debt_Schedule_202511.xlsx</t>
      </text>
    </comment>
    <comment ref="D306" authorId="0" shapeId="0">
      <text>
        <t>Interest = Opening * Annual Rate / 12</t>
      </text>
    </comment>
    <comment ref="E306" authorId="0" shapeId="0">
      <text>
        <t>Principal = MIN(Opening, Payment - Interest)</t>
      </text>
    </comment>
    <comment ref="F306" authorId="0" shapeId="0">
      <text>
        <t>Closing = Opening - Principal</t>
      </text>
    </comment>
    <comment ref="C307" authorId="0" shapeId="0">
      <text>
        <t>Loan: TriState Capital, 25 Trailers (April 2023). Source: Meiborg_Debt_Schedule_202511.xlsx</t>
      </text>
    </comment>
    <comment ref="D307" authorId="0" shapeId="0">
      <text>
        <t>Interest = Opening * Annual Rate / 12</t>
      </text>
    </comment>
    <comment ref="E307" authorId="0" shapeId="0">
      <text>
        <t>Principal = MIN(Opening, Payment - Interest)</t>
      </text>
    </comment>
    <comment ref="F307" authorId="0" shapeId="0">
      <text>
        <t>Closing = Opening - Principal</t>
      </text>
    </comment>
    <comment ref="C308" authorId="0" shapeId="0">
      <text>
        <t>Loan: TriState Capital, 25 Trailers (April 2023). Source: Meiborg_Debt_Schedule_202511.xlsx</t>
      </text>
    </comment>
    <comment ref="D308" authorId="0" shapeId="0">
      <text>
        <t>Interest = Opening * Annual Rate / 12</t>
      </text>
    </comment>
    <comment ref="E308" authorId="0" shapeId="0">
      <text>
        <t>Principal = MIN(Opening, Payment - Interest)</t>
      </text>
    </comment>
    <comment ref="F308" authorId="0" shapeId="0">
      <text>
        <t>Closing = Opening - Principal</t>
      </text>
    </comment>
    <comment ref="C309" authorId="0" shapeId="0">
      <text>
        <t>Loan: TriState Capital, 25 Trailers (April 2023). Source: Meiborg_Debt_Schedule_202511.xlsx</t>
      </text>
    </comment>
    <comment ref="D309" authorId="0" shapeId="0">
      <text>
        <t>Interest = Opening * Annual Rate / 12</t>
      </text>
    </comment>
    <comment ref="E309" authorId="0" shapeId="0">
      <text>
        <t>Principal = MIN(Opening, Payment - Interest)</t>
      </text>
    </comment>
    <comment ref="F309" authorId="0" shapeId="0">
      <text>
        <t>Closing = Opening - Principal</t>
      </text>
    </comment>
    <comment ref="C310" authorId="0" shapeId="0">
      <text>
        <t>Loan: TriState Capital, 25 Trailers (April 2023). Source: Meiborg_Debt_Schedule_202511.xlsx</t>
      </text>
    </comment>
    <comment ref="D310" authorId="0" shapeId="0">
      <text>
        <t>Interest = Opening * Annual Rate / 12</t>
      </text>
    </comment>
    <comment ref="E310" authorId="0" shapeId="0">
      <text>
        <t>Principal = MIN(Opening, Payment - Interest)</t>
      </text>
    </comment>
    <comment ref="F310" authorId="0" shapeId="0">
      <text>
        <t>Closing = Opening - Principal</t>
      </text>
    </comment>
    <comment ref="C311" authorId="0" shapeId="0">
      <text>
        <t>Loan: TriState Capital, 25 Trailers (April 2023). Source: Meiborg_Debt_Schedule_202511.xlsx</t>
      </text>
    </comment>
    <comment ref="D311" authorId="0" shapeId="0">
      <text>
        <t>Interest = Opening * Annual Rate / 12</t>
      </text>
    </comment>
    <comment ref="E311" authorId="0" shapeId="0">
      <text>
        <t>Principal = MIN(Opening, Payment - Interest)</t>
      </text>
    </comment>
    <comment ref="F311" authorId="0" shapeId="0">
      <text>
        <t>Closing = Opening - Principal</t>
      </text>
    </comment>
    <comment ref="C312" authorId="0" shapeId="0">
      <text>
        <t>Loan: TriState Capital, 25 Trailers (April 2023). Source: Meiborg_Debt_Schedule_202511.xlsx</t>
      </text>
    </comment>
    <comment ref="D312" authorId="0" shapeId="0">
      <text>
        <t>Interest = Opening * Annual Rate / 12</t>
      </text>
    </comment>
    <comment ref="E312" authorId="0" shapeId="0">
      <text>
        <t>Principal = MIN(Opening, Payment - Interest)</t>
      </text>
    </comment>
    <comment ref="F312" authorId="0" shapeId="0">
      <text>
        <t>Closing = Opening - Principal</t>
      </text>
    </comment>
    <comment ref="C313" authorId="0" shapeId="0">
      <text>
        <t>Loan: TriState Capital, 25 Trailers (April 2023). Source: Meiborg_Debt_Schedule_202511.xlsx</t>
      </text>
    </comment>
    <comment ref="D313" authorId="0" shapeId="0">
      <text>
        <t>Interest = Opening * Annual Rate / 12</t>
      </text>
    </comment>
    <comment ref="E313" authorId="0" shapeId="0">
      <text>
        <t>Principal = MIN(Opening, Payment - Interest)</t>
      </text>
    </comment>
    <comment ref="F313" authorId="0" shapeId="0">
      <text>
        <t>Closing = Opening - Principal</t>
      </text>
    </comment>
    <comment ref="C314" authorId="0" shapeId="0">
      <text>
        <t>Loan: TriState Capital, 25 Trailers (April 2023). Source: Meiborg_Debt_Schedule_202511.xlsx</t>
      </text>
    </comment>
    <comment ref="D314" authorId="0" shapeId="0">
      <text>
        <t>Interest = Opening * Annual Rate / 12</t>
      </text>
    </comment>
    <comment ref="E314" authorId="0" shapeId="0">
      <text>
        <t>Principal = MIN(Opening, Payment - Interest)</t>
      </text>
    </comment>
    <comment ref="F314" authorId="0" shapeId="0">
      <text>
        <t>Closing = Opening - Principal</t>
      </text>
    </comment>
    <comment ref="C315" authorId="0" shapeId="0">
      <text>
        <t>Loan: TriState Capital, 25 Trailers (April 2023). Source: Meiborg_Debt_Schedule_202511.xlsx</t>
      </text>
    </comment>
    <comment ref="D315" authorId="0" shapeId="0">
      <text>
        <t>Interest = Opening * Annual Rate / 12</t>
      </text>
    </comment>
    <comment ref="E315" authorId="0" shapeId="0">
      <text>
        <t>Principal = MIN(Opening, Payment - Interest)</t>
      </text>
    </comment>
    <comment ref="F315" authorId="0" shapeId="0">
      <text>
        <t>Closing = Opening - Principal</t>
      </text>
    </comment>
    <comment ref="C316" authorId="0" shapeId="0">
      <text>
        <t>Loan: TriState Capital, 25 Trailers (April 2023). Source: Meiborg_Debt_Schedule_202511.xlsx</t>
      </text>
    </comment>
    <comment ref="D316" authorId="0" shapeId="0">
      <text>
        <t>Interest = Opening * Annual Rate / 12</t>
      </text>
    </comment>
    <comment ref="E316" authorId="0" shapeId="0">
      <text>
        <t>Principal = MIN(Opening, Payment - Interest)</t>
      </text>
    </comment>
    <comment ref="F316" authorId="0" shapeId="0">
      <text>
        <t>Closing = Opening - Principal</t>
      </text>
    </comment>
    <comment ref="C317" authorId="0" shapeId="0">
      <text>
        <t>Loan: TriState Capital, 25 Trailers (April 2023). Source: Meiborg_Debt_Schedule_202511.xlsx</t>
      </text>
    </comment>
    <comment ref="D317" authorId="0" shapeId="0">
      <text>
        <t>Interest = Opening * Annual Rate / 12</t>
      </text>
    </comment>
    <comment ref="E317" authorId="0" shapeId="0">
      <text>
        <t>Principal = MIN(Opening, Payment - Interest)</t>
      </text>
    </comment>
    <comment ref="F317" authorId="0" shapeId="0">
      <text>
        <t>Closing = Opening - Principal</t>
      </text>
    </comment>
    <comment ref="C318" authorId="0" shapeId="0">
      <text>
        <t>Loan: TriState Capital, 25 Trailers (April 2023). Source: Meiborg_Debt_Schedule_202511.xlsx</t>
      </text>
    </comment>
    <comment ref="D318" authorId="0" shapeId="0">
      <text>
        <t>Interest = Opening * Annual Rate / 12</t>
      </text>
    </comment>
    <comment ref="E318" authorId="0" shapeId="0">
      <text>
        <t>Principal = MIN(Opening, Payment - Interest)</t>
      </text>
    </comment>
    <comment ref="F318" authorId="0" shapeId="0">
      <text>
        <t>Closing = Opening - Principal</t>
      </text>
    </comment>
    <comment ref="C319" authorId="0" shapeId="0">
      <text>
        <t>Loan: TriState Capital, 25 Trailers (April 2023). Source: Meiborg_Debt_Schedule_202511.xlsx</t>
      </text>
    </comment>
    <comment ref="D319" authorId="0" shapeId="0">
      <text>
        <t>Interest = Opening * Annual Rate / 12</t>
      </text>
    </comment>
    <comment ref="E319" authorId="0" shapeId="0">
      <text>
        <t>Principal = MIN(Opening, Payment - Interest)</t>
      </text>
    </comment>
    <comment ref="F319" authorId="0" shapeId="0">
      <text>
        <t>Closing = Opening - Principal</t>
      </text>
    </comment>
    <comment ref="C320" authorId="0" shapeId="0">
      <text>
        <t>Loan: TriState Capital, 25 Trailers (April 2023). Source: Meiborg_Debt_Schedule_202511.xlsx</t>
      </text>
    </comment>
    <comment ref="D320" authorId="0" shapeId="0">
      <text>
        <t>Interest = Opening * Annual Rate / 12</t>
      </text>
    </comment>
    <comment ref="E320" authorId="0" shapeId="0">
      <text>
        <t>Principal = MIN(Opening, Payment - Interest)</t>
      </text>
    </comment>
    <comment ref="F320" authorId="0" shapeId="0">
      <text>
        <t>Closing = Opening - Principal</t>
      </text>
    </comment>
    <comment ref="C321" authorId="0" shapeId="0">
      <text>
        <t>Loan: TriState Capital, 25 Trailers (April 2023). Source: Meiborg_Debt_Schedule_202511.xlsx</t>
      </text>
    </comment>
    <comment ref="D321" authorId="0" shapeId="0">
      <text>
        <t>Interest = Opening * Annual Rate / 12</t>
      </text>
    </comment>
    <comment ref="E321" authorId="0" shapeId="0">
      <text>
        <t>Principal = MIN(Opening, Payment - Interest)</t>
      </text>
    </comment>
    <comment ref="F321" authorId="0" shapeId="0">
      <text>
        <t>Closing = Opening - Principal</t>
      </text>
    </comment>
    <comment ref="C322" authorId="0" shapeId="0">
      <text>
        <t>Loan: TriState Capital, 25 Trailers (April 2023). Source: Meiborg_Debt_Schedule_202511.xlsx</t>
      </text>
    </comment>
    <comment ref="D322" authorId="0" shapeId="0">
      <text>
        <t>Interest = Opening * Annual Rate / 12</t>
      </text>
    </comment>
    <comment ref="E322" authorId="0" shapeId="0">
      <text>
        <t>Principal = MIN(Opening, Payment - Interest)</t>
      </text>
    </comment>
    <comment ref="F322" authorId="0" shapeId="0">
      <text>
        <t>Closing = Opening - Principal</t>
      </text>
    </comment>
    <comment ref="C323" authorId="0" shapeId="0">
      <text>
        <t>Loan: TriState Capital, 25 Trailers (April 2023). Source: Meiborg_Debt_Schedule_202511.xlsx</t>
      </text>
    </comment>
    <comment ref="D323" authorId="0" shapeId="0">
      <text>
        <t>Interest = Opening * Annual Rate / 12</t>
      </text>
    </comment>
    <comment ref="E323" authorId="0" shapeId="0">
      <text>
        <t>Principal = MIN(Opening, Payment - Interest)</t>
      </text>
    </comment>
    <comment ref="F323" authorId="0" shapeId="0">
      <text>
        <t>Closing = Opening - Principal</t>
      </text>
    </comment>
    <comment ref="C324" authorId="0" shapeId="0">
      <text>
        <t>Loan: TriState Capital, 25 Trailers (April 2023). Source: Meiborg_Debt_Schedule_202511.xlsx</t>
      </text>
    </comment>
    <comment ref="D324" authorId="0" shapeId="0">
      <text>
        <t>Interest = Opening * Annual Rate / 12</t>
      </text>
    </comment>
    <comment ref="E324" authorId="0" shapeId="0">
      <text>
        <t>Principal = MIN(Opening, Payment - Interest)</t>
      </text>
    </comment>
    <comment ref="F324" authorId="0" shapeId="0">
      <text>
        <t>Closing = Opening - Principal</t>
      </text>
    </comment>
    <comment ref="C325" authorId="0" shapeId="0">
      <text>
        <t>Loan: TriState Capital, 25 Trailers (April 2023). Source: Meiborg_Debt_Schedule_202511.xlsx</t>
      </text>
    </comment>
    <comment ref="D325" authorId="0" shapeId="0">
      <text>
        <t>Interest = Opening * Annual Rate / 12</t>
      </text>
    </comment>
    <comment ref="E325" authorId="0" shapeId="0">
      <text>
        <t>Principal = MIN(Opening, Payment - Interest)</t>
      </text>
    </comment>
    <comment ref="F325" authorId="0" shapeId="0">
      <text>
        <t>Closing = Opening - Principal</t>
      </text>
    </comment>
    <comment ref="C326" authorId="0" shapeId="0">
      <text>
        <t>Loan: TriState Capital, 25 Trailers (April 2023). Source: Meiborg_Debt_Schedule_202511.xlsx</t>
      </text>
    </comment>
    <comment ref="D326" authorId="0" shapeId="0">
      <text>
        <t>Interest = Opening * Annual Rate / 12</t>
      </text>
    </comment>
    <comment ref="E326" authorId="0" shapeId="0">
      <text>
        <t>Principal = MIN(Opening, Payment - Interest)</t>
      </text>
    </comment>
    <comment ref="F326" authorId="0" shapeId="0">
      <text>
        <t>Closing = Opening - Principal</t>
      </text>
    </comment>
    <comment ref="C327" authorId="0" shapeId="0">
      <text>
        <t>Loan: TriState Capital, 25 Trailers (April 2023). Source: Meiborg_Debt_Schedule_202511.xlsx</t>
      </text>
    </comment>
    <comment ref="D327" authorId="0" shapeId="0">
      <text>
        <t>Interest = Opening * Annual Rate / 12</t>
      </text>
    </comment>
    <comment ref="E327" authorId="0" shapeId="0">
      <text>
        <t>Principal = MIN(Opening, Payment - Interest)</t>
      </text>
    </comment>
    <comment ref="F327" authorId="0" shapeId="0">
      <text>
        <t>Closing = Opening - Principal</t>
      </text>
    </comment>
    <comment ref="C328" authorId="0" shapeId="0">
      <text>
        <t>Loan: TriState Capital, 25 Trailers (April 2023). Source: Meiborg_Debt_Schedule_202511.xlsx</t>
      </text>
    </comment>
    <comment ref="D328" authorId="0" shapeId="0">
      <text>
        <t>Interest = Opening * Annual Rate / 12</t>
      </text>
    </comment>
    <comment ref="E328" authorId="0" shapeId="0">
      <text>
        <t>Principal = MIN(Opening, Payment - Interest)</t>
      </text>
    </comment>
    <comment ref="F328" authorId="0" shapeId="0">
      <text>
        <t>Closing = Opening - Principal</t>
      </text>
    </comment>
    <comment ref="C329" authorId="0" shapeId="0">
      <text>
        <t>Loan: TriState Capital, 25 Trailers (April 2023). Source: Meiborg_Debt_Schedule_202511.xlsx</t>
      </text>
    </comment>
    <comment ref="D329" authorId="0" shapeId="0">
      <text>
        <t>Interest = Opening * Annual Rate / 12</t>
      </text>
    </comment>
    <comment ref="E329" authorId="0" shapeId="0">
      <text>
        <t>Principal = MIN(Opening, Payment - Interest)</t>
      </text>
    </comment>
    <comment ref="F329" authorId="0" shapeId="0">
      <text>
        <t>Closing = Opening - Principal</t>
      </text>
    </comment>
    <comment ref="C330" authorId="0" shapeId="0">
      <text>
        <t>Loan: TriState Capital, 25 Trailers (April 2023). Source: Meiborg_Debt_Schedule_202511.xlsx</t>
      </text>
    </comment>
    <comment ref="D330" authorId="0" shapeId="0">
      <text>
        <t>Interest = Opening * Annual Rate / 12</t>
      </text>
    </comment>
    <comment ref="E330" authorId="0" shapeId="0">
      <text>
        <t>Principal = MIN(Opening, Payment - Interest)</t>
      </text>
    </comment>
    <comment ref="F330" authorId="0" shapeId="0">
      <text>
        <t>Closing = Opening - Principal</t>
      </text>
    </comment>
    <comment ref="C331" authorId="0" shapeId="0">
      <text>
        <t>Loan: TriState Capital, 25 Trailers (April 2023). Source: Meiborg_Debt_Schedule_202511.xlsx</t>
      </text>
    </comment>
    <comment ref="D331" authorId="0" shapeId="0">
      <text>
        <t>Interest = Opening * Annual Rate / 12</t>
      </text>
    </comment>
    <comment ref="E331" authorId="0" shapeId="0">
      <text>
        <t>Principal = MIN(Opening, Payment - Interest)</t>
      </text>
    </comment>
    <comment ref="F331" authorId="0" shapeId="0">
      <text>
        <t>Closing = Opening - Principal</t>
      </text>
    </comment>
    <comment ref="C332" authorId="0" shapeId="0">
      <text>
        <t>Loan: TriState Capital, 25 Trailers (April 2023). Source: Meiborg_Debt_Schedule_202511.xlsx</t>
      </text>
    </comment>
    <comment ref="D332" authorId="0" shapeId="0">
      <text>
        <t>Interest = Opening * Annual Rate / 12</t>
      </text>
    </comment>
    <comment ref="E332" authorId="0" shapeId="0">
      <text>
        <t>Principal = MIN(Opening, Payment - Interest)</t>
      </text>
    </comment>
    <comment ref="F332" authorId="0" shapeId="0">
      <text>
        <t>Closing = Opening - Principal</t>
      </text>
    </comment>
    <comment ref="C333" authorId="0" shapeId="0">
      <text>
        <t>Loan: TriState Capital, 25 Trailers (April 2023). Source: Meiborg_Debt_Schedule_202511.xlsx</t>
      </text>
    </comment>
    <comment ref="D333" authorId="0" shapeId="0">
      <text>
        <t>Interest = Opening * Annual Rate / 12</t>
      </text>
    </comment>
    <comment ref="E333" authorId="0" shapeId="0">
      <text>
        <t>Principal = MIN(Opening, Payment - Interest)</t>
      </text>
    </comment>
    <comment ref="F333" authorId="0" shapeId="0">
      <text>
        <t>Closing = Opening - Principal</t>
      </text>
    </comment>
    <comment ref="D334" authorId="0" shapeId="0">
      <text>
        <t>Sum of rows 280-333: Total interest for 25 Trailers (April 2023)</t>
      </text>
    </comment>
    <comment ref="E334" authorId="0" shapeId="0">
      <text>
        <t>Sum of rows 280-333: Total principal for 25 Trailers (April 2023)</t>
      </text>
    </comment>
  </commentList>
</comments>
</file>

<file path=xl/comments/comment12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Meiborg_Debt_Schedule_202511.xlsx
Extracted: 2025-11-30</t>
      </text>
    </comment>
    <comment ref="B4" authorId="0" shapeId="0">
      <text>
        <t>Sum of 5 Peapack loans as of 2025-11-30</t>
      </text>
    </comment>
    <comment ref="B21" authorId="0" shapeId="0">
      <text>
        <t>Loan: Peapack Capital, 5 T680 Sleepers (Feb 2022).
Source: Meiborg_Debt_Schedule_202511.xlsx</t>
      </text>
    </comment>
    <comment ref="B22" authorId="0" shapeId="0">
      <text>
        <t>Loan: Peapack Capital, 5 T680 Sleepers (Feb 2022).
Source: Meiborg_Debt_Schedule_202511.xlsx</t>
      </text>
    </comment>
    <comment ref="B23" authorId="0" shapeId="0">
      <text>
        <t>Loan: Peapack Capital, 5 T680 Sleepers (Feb 2022).
Source: Meiborg_Debt_Schedule_202511.xlsx</t>
      </text>
    </comment>
    <comment ref="B24" authorId="0" shapeId="0">
      <text>
        <t>Loan: Peapack Capital, 5 T680 Sleepers (Feb 2022).
Source: Meiborg_Debt_Schedule_202511.xlsx</t>
      </text>
    </comment>
    <comment ref="C36" authorId="0" shapeId="0">
      <text>
        <t>Loan: Peapack Capital, 5 T680 Sleepers (Feb 2022).
Source: Meiborg_Debt_Schedule_202511.xlsx</t>
      </text>
    </comment>
    <comment ref="D36" authorId="0" shapeId="0">
      <text>
        <t>Interest = MAX(0, Opening * AnnualRate / 12)</t>
      </text>
    </comment>
    <comment ref="E36" authorId="0" shapeId="0">
      <text>
        <t>Principal = MAX(0, MIN(Opening, Payment - Interest))</t>
      </text>
    </comment>
    <comment ref="F36" authorId="0" shapeId="0">
      <text>
        <t>Closing = MAX(0, Opening - Principal)</t>
      </text>
    </comment>
    <comment ref="C37" authorId="0" shapeId="0">
      <text>
        <t>Loan: Peapack Capital, 5 T680 Sleepers (Feb 2022).
Source: Meiborg_Debt_Schedule_202511.xlsx</t>
      </text>
    </comment>
    <comment ref="D37" authorId="0" shapeId="0">
      <text>
        <t>Interest = MAX(0, Opening * AnnualRate / 12)</t>
      </text>
    </comment>
    <comment ref="E37" authorId="0" shapeId="0">
      <text>
        <t>Principal = MAX(0, MIN(Opening, Payment - Interest))</t>
      </text>
    </comment>
    <comment ref="F37" authorId="0" shapeId="0">
      <text>
        <t>Closing = MAX(0, Opening - Principal)</t>
      </text>
    </comment>
    <comment ref="C38" authorId="0" shapeId="0">
      <text>
        <t>Loan: Peapack Capital, 5 T680 Sleepers (Feb 2022).
Source: Meiborg_Debt_Schedule_202511.xlsx</t>
      </text>
    </comment>
    <comment ref="D38" authorId="0" shapeId="0">
      <text>
        <t>Interest = MAX(0, Opening * AnnualRate / 12)</t>
      </text>
    </comment>
    <comment ref="E38" authorId="0" shapeId="0">
      <text>
        <t>Principal = MAX(0, MIN(Opening, Payment - Interest))</t>
      </text>
    </comment>
    <comment ref="F38" authorId="0" shapeId="0">
      <text>
        <t>Closing = MAX(0, Opening - Principal)</t>
      </text>
    </comment>
    <comment ref="C39" authorId="0" shapeId="0">
      <text>
        <t>Loan: Peapack Capital, 5 T680 Sleepers (Feb 2022).
Source: Meiborg_Debt_Schedule_202511.xlsx</t>
      </text>
    </comment>
    <comment ref="D39" authorId="0" shapeId="0">
      <text>
        <t>Interest = MAX(0, Opening * AnnualRate / 12)</t>
      </text>
    </comment>
    <comment ref="E39" authorId="0" shapeId="0">
      <text>
        <t>Principal = MAX(0, MIN(Opening, Payment - Interest))</t>
      </text>
    </comment>
    <comment ref="F39" authorId="0" shapeId="0">
      <text>
        <t>Closing = MAX(0, Opening - Principal)</t>
      </text>
    </comment>
    <comment ref="C40" authorId="0" shapeId="0">
      <text>
        <t>Loan: Peapack Capital, 5 T680 Sleepers (Feb 2022).
Source: Meiborg_Debt_Schedule_202511.xlsx</t>
      </text>
    </comment>
    <comment ref="D40" authorId="0" shapeId="0">
      <text>
        <t>Interest = MAX(0, Opening * AnnualRate / 12)</t>
      </text>
    </comment>
    <comment ref="E40" authorId="0" shapeId="0">
      <text>
        <t>Principal = MAX(0, MIN(Opening, Payment - Interest))</t>
      </text>
    </comment>
    <comment ref="F40" authorId="0" shapeId="0">
      <text>
        <t>Closing = MAX(0, Opening - Principal)</t>
      </text>
    </comment>
    <comment ref="C41" authorId="0" shapeId="0">
      <text>
        <t>Loan: Peapack Capital, 5 T680 Sleepers (Feb 2022).
Source: Meiborg_Debt_Schedule_202511.xlsx</t>
      </text>
    </comment>
    <comment ref="D41" authorId="0" shapeId="0">
      <text>
        <t>Interest = MAX(0, Opening * AnnualRate / 12)</t>
      </text>
    </comment>
    <comment ref="E41" authorId="0" shapeId="0">
      <text>
        <t>Principal = MAX(0, MIN(Opening, Payment - Interest))</t>
      </text>
    </comment>
    <comment ref="F41" authorId="0" shapeId="0">
      <text>
        <t>Closing = MAX(0, Opening - Principal)</t>
      </text>
    </comment>
    <comment ref="C42" authorId="0" shapeId="0">
      <text>
        <t>Loan: Peapack Capital, 5 T680 Sleepers (Feb 2022).
Source: Meiborg_Debt_Schedule_202511.xlsx</t>
      </text>
    </comment>
    <comment ref="D42" authorId="0" shapeId="0">
      <text>
        <t>Interest = MAX(0, Opening * AnnualRate / 12)</t>
      </text>
    </comment>
    <comment ref="E42" authorId="0" shapeId="0">
      <text>
        <t>Principal = MAX(0, MIN(Opening, Payment - Interest))</t>
      </text>
    </comment>
    <comment ref="F42" authorId="0" shapeId="0">
      <text>
        <t>Closing = MAX(0, Opening - Principal)</t>
      </text>
    </comment>
    <comment ref="C43" authorId="0" shapeId="0">
      <text>
        <t>Loan: Peapack Capital, 5 T680 Sleepers (Feb 2022).
Source: Meiborg_Debt_Schedule_202511.xlsx</t>
      </text>
    </comment>
    <comment ref="D43" authorId="0" shapeId="0">
      <text>
        <t>Interest = MAX(0, Opening * AnnualRate / 12)</t>
      </text>
    </comment>
    <comment ref="E43" authorId="0" shapeId="0">
      <text>
        <t>Principal = MAX(0, MIN(Opening, Payment - Interest))</t>
      </text>
    </comment>
    <comment ref="F43" authorId="0" shapeId="0">
      <text>
        <t>Closing = MAX(0, Opening - Principal)</t>
      </text>
    </comment>
    <comment ref="C44" authorId="0" shapeId="0">
      <text>
        <t>Loan: Peapack Capital, 5 T680 Sleepers (Feb 2022).
Source: Meiborg_Debt_Schedule_202511.xlsx</t>
      </text>
    </comment>
    <comment ref="D44" authorId="0" shapeId="0">
      <text>
        <t>Interest = MAX(0, Opening * AnnualRate / 12)</t>
      </text>
    </comment>
    <comment ref="E44" authorId="0" shapeId="0">
      <text>
        <t>Principal = MAX(0, MIN(Opening, Payment - Interest))</t>
      </text>
    </comment>
    <comment ref="F44" authorId="0" shapeId="0">
      <text>
        <t>Closing = MAX(0, Opening - Principal)</t>
      </text>
    </comment>
    <comment ref="C45" authorId="0" shapeId="0">
      <text>
        <t>Loan: Peapack Capital, 5 T680 Sleepers (Feb 2022).
Source: Meiborg_Debt_Schedule_202511.xlsx</t>
      </text>
    </comment>
    <comment ref="D45" authorId="0" shapeId="0">
      <text>
        <t>Interest = MAX(0, Opening * AnnualRate / 12)</t>
      </text>
    </comment>
    <comment ref="E45" authorId="0" shapeId="0">
      <text>
        <t>Principal = MAX(0, MIN(Opening, Payment - Interest))</t>
      </text>
    </comment>
    <comment ref="F45" authorId="0" shapeId="0">
      <text>
        <t>Closing = MAX(0, Opening - Principal)</t>
      </text>
    </comment>
    <comment ref="C46" authorId="0" shapeId="0">
      <text>
        <t>Loan: Peapack Capital, 5 T680 Sleepers (Feb 2022).
Source: Meiborg_Debt_Schedule_202511.xlsx</t>
      </text>
    </comment>
    <comment ref="D46" authorId="0" shapeId="0">
      <text>
        <t>Interest = MAX(0, Opening * AnnualRate / 12)</t>
      </text>
    </comment>
    <comment ref="E46" authorId="0" shapeId="0">
      <text>
        <t>Principal = MAX(0, MIN(Opening, Payment - Interest))</t>
      </text>
    </comment>
    <comment ref="F46" authorId="0" shapeId="0">
      <text>
        <t>Closing = MAX(0, Opening - Principal)</t>
      </text>
    </comment>
    <comment ref="C47" authorId="0" shapeId="0">
      <text>
        <t>Loan: Peapack Capital, 5 T680 Sleepers (Feb 2022).
Source: Meiborg_Debt_Schedule_202511.xlsx</t>
      </text>
    </comment>
    <comment ref="D47" authorId="0" shapeId="0">
      <text>
        <t>Interest = MAX(0, Opening * AnnualRate / 12)</t>
      </text>
    </comment>
    <comment ref="E47" authorId="0" shapeId="0">
      <text>
        <t>Principal = MAX(0, MIN(Opening, Payment - Interest))</t>
      </text>
    </comment>
    <comment ref="F47" authorId="0" shapeId="0">
      <text>
        <t>Closing = MAX(0, Opening - Principal)</t>
      </text>
    </comment>
    <comment ref="C48" authorId="0" shapeId="0">
      <text>
        <t>Loan: Peapack Capital, 5 T680 Sleepers (Feb 2022).
Source: Meiborg_Debt_Schedule_202511.xlsx</t>
      </text>
    </comment>
    <comment ref="D48" authorId="0" shapeId="0">
      <text>
        <t>Interest = MAX(0, Opening * AnnualRate / 12)</t>
      </text>
    </comment>
    <comment ref="E48" authorId="0" shapeId="0">
      <text>
        <t>Principal = MAX(0, MIN(Opening, Payment - Interest))</t>
      </text>
    </comment>
    <comment ref="F48" authorId="0" shapeId="0">
      <text>
        <t>Closing = MAX(0, Opening - Principal)</t>
      </text>
    </comment>
    <comment ref="C49" authorId="0" shapeId="0">
      <text>
        <t>Loan: Peapack Capital, 5 T680 Sleepers (Feb 2022).
Source: Meiborg_Debt_Schedule_202511.xlsx</t>
      </text>
    </comment>
    <comment ref="D49" authorId="0" shapeId="0">
      <text>
        <t>Interest = MAX(0, Opening * AnnualRate / 12)</t>
      </text>
    </comment>
    <comment ref="E49" authorId="0" shapeId="0">
      <text>
        <t>Principal = MAX(0, MIN(Opening, Payment - Interest))</t>
      </text>
    </comment>
    <comment ref="F49" authorId="0" shapeId="0">
      <text>
        <t>Closing = MAX(0, Opening - Principal)</t>
      </text>
    </comment>
    <comment ref="C50" authorId="0" shapeId="0">
      <text>
        <t>Loan: Peapack Capital, 5 T680 Sleepers (Feb 2022).
Source: Meiborg_Debt_Schedule_202511.xlsx</t>
      </text>
    </comment>
    <comment ref="D50" authorId="0" shapeId="0">
      <text>
        <t>Interest = MAX(0, Opening * AnnualRate / 12)</t>
      </text>
    </comment>
    <comment ref="E50" authorId="0" shapeId="0">
      <text>
        <t>Principal = MAX(0, MIN(Opening, Payment - Interest))</t>
      </text>
    </comment>
    <comment ref="F50" authorId="0" shapeId="0">
      <text>
        <t>Closing = MAX(0, Opening - Principal)</t>
      </text>
    </comment>
    <comment ref="C51" authorId="0" shapeId="0">
      <text>
        <t>Loan: Peapack Capital, 5 T680 Sleepers (Feb 2022).
Source: Meiborg_Debt_Schedule_202511.xlsx</t>
      </text>
    </comment>
    <comment ref="D51" authorId="0" shapeId="0">
      <text>
        <t>Interest = MAX(0, Opening * AnnualRate / 12)</t>
      </text>
    </comment>
    <comment ref="E51" authorId="0" shapeId="0">
      <text>
        <t>Principal = MAX(0, MIN(Opening, Payment - Interest))</t>
      </text>
    </comment>
    <comment ref="F51" authorId="0" shapeId="0">
      <text>
        <t>Closing = MAX(0, Opening - Principal)</t>
      </text>
    </comment>
    <comment ref="C52" authorId="0" shapeId="0">
      <text>
        <t>Loan: Peapack Capital, 5 T680 Sleepers (Feb 2022).
Source: Meiborg_Debt_Schedule_202511.xlsx</t>
      </text>
    </comment>
    <comment ref="D52" authorId="0" shapeId="0">
      <text>
        <t>Interest = MAX(0, Opening * AnnualRate / 12)</t>
      </text>
    </comment>
    <comment ref="E52" authorId="0" shapeId="0">
      <text>
        <t>Principal = MAX(0, MIN(Opening, Payment - Interest))</t>
      </text>
    </comment>
    <comment ref="F52" authorId="0" shapeId="0">
      <text>
        <t>Closing = MAX(0, Opening - Principal)</t>
      </text>
    </comment>
    <comment ref="C53" authorId="0" shapeId="0">
      <text>
        <t>Loan: Peapack Capital, 5 T680 Sleepers (Feb 2022).
Source: Meiborg_Debt_Schedule_202511.xlsx</t>
      </text>
    </comment>
    <comment ref="D53" authorId="0" shapeId="0">
      <text>
        <t>Interest = MAX(0, Opening * AnnualRate / 12)</t>
      </text>
    </comment>
    <comment ref="E53" authorId="0" shapeId="0">
      <text>
        <t>Principal = MAX(0, MIN(Opening, Payment - Interest))</t>
      </text>
    </comment>
    <comment ref="F53" authorId="0" shapeId="0">
      <text>
        <t>Closing = MAX(0, Opening - Principal)</t>
      </text>
    </comment>
    <comment ref="C54" authorId="0" shapeId="0">
      <text>
        <t>Loan: Peapack Capital, 5 T680 Sleepers (Feb 2022).
Source: Meiborg_Debt_Schedule_202511.xlsx</t>
      </text>
    </comment>
    <comment ref="D54" authorId="0" shapeId="0">
      <text>
        <t>Interest = MAX(0, Opening * AnnualRate / 12)</t>
      </text>
    </comment>
    <comment ref="E54" authorId="0" shapeId="0">
      <text>
        <t>Principal = MAX(0, MIN(Opening, Payment - Interest))</t>
      </text>
    </comment>
    <comment ref="F54" authorId="0" shapeId="0">
      <text>
        <t>Closing = MAX(0, Opening - Principal)</t>
      </text>
    </comment>
    <comment ref="C55" authorId="0" shapeId="0">
      <text>
        <t>Loan: Peapack Capital, 5 T680 Sleepers (Feb 2022).
Source: Meiborg_Debt_Schedule_202511.xlsx</t>
      </text>
    </comment>
    <comment ref="D55" authorId="0" shapeId="0">
      <text>
        <t>Interest = MAX(0, Opening * AnnualRate / 12)</t>
      </text>
    </comment>
    <comment ref="E55" authorId="0" shapeId="0">
      <text>
        <t>Principal = MAX(0, MIN(Opening, Payment - Interest))</t>
      </text>
    </comment>
    <comment ref="F55" authorId="0" shapeId="0">
      <text>
        <t>Closing = MAX(0, Opening - Principal)</t>
      </text>
    </comment>
    <comment ref="C56" authorId="0" shapeId="0">
      <text>
        <t>Loan: Peapack Capital, 5 T680 Sleepers (Feb 2022).
Source: Meiborg_Debt_Schedule_202511.xlsx</t>
      </text>
    </comment>
    <comment ref="D56" authorId="0" shapeId="0">
      <text>
        <t>Interest = MAX(0, Opening * AnnualRate / 12)</t>
      </text>
    </comment>
    <comment ref="E56" authorId="0" shapeId="0">
      <text>
        <t>Principal = MAX(0, MIN(Opening, Payment - Interest))</t>
      </text>
    </comment>
    <comment ref="F56" authorId="0" shapeId="0">
      <text>
        <t>Closing = MAX(0, Opening - Principal)</t>
      </text>
    </comment>
    <comment ref="C57" authorId="0" shapeId="0">
      <text>
        <t>Loan: Peapack Capital, 5 T680 Sleepers (Feb 2022).
Source: Meiborg_Debt_Schedule_202511.xlsx</t>
      </text>
    </comment>
    <comment ref="D57" authorId="0" shapeId="0">
      <text>
        <t>Interest = MAX(0, Opening * AnnualRate / 12)</t>
      </text>
    </comment>
    <comment ref="E57" authorId="0" shapeId="0">
      <text>
        <t>Principal = MAX(0, MIN(Opening, Payment - Interest))</t>
      </text>
    </comment>
    <comment ref="F57" authorId="0" shapeId="0">
      <text>
        <t>Closing = MAX(0, Opening - Principal)</t>
      </text>
    </comment>
    <comment ref="C58" authorId="0" shapeId="0">
      <text>
        <t>Loan: Peapack Capital, 5 T680 Sleepers (Feb 2022).
Source: Meiborg_Debt_Schedule_202511.xlsx</t>
      </text>
    </comment>
    <comment ref="D58" authorId="0" shapeId="0">
      <text>
        <t>Interest = MAX(0, Opening * AnnualRate / 12)</t>
      </text>
    </comment>
    <comment ref="E58" authorId="0" shapeId="0">
      <text>
        <t>Principal = MAX(0, MIN(Opening, Payment - Interest))</t>
      </text>
    </comment>
    <comment ref="F58" authorId="0" shapeId="0">
      <text>
        <t>Closing = MAX(0, Opening - Principal)</t>
      </text>
    </comment>
    <comment ref="D59" authorId="0" shapeId="0">
      <text>
        <t>Sum of rows 36-58: Interest</t>
      </text>
    </comment>
    <comment ref="E59" authorId="0" shapeId="0">
      <text>
        <t>Sum of rows 36-58: Principal</t>
      </text>
    </comment>
    <comment ref="B66" authorId="0" shapeId="0">
      <text>
        <t>Loan: Peapack Capital, 1 Autocar Spotter (May 2022).
Source: Meiborg_Debt_Schedule_202511.xlsx</t>
      </text>
    </comment>
    <comment ref="B67" authorId="0" shapeId="0">
      <text>
        <t>Loan: Peapack Capital, 1 Autocar Spotter (May 2022).
Source: Meiborg_Debt_Schedule_202511.xlsx</t>
      </text>
    </comment>
    <comment ref="B68" authorId="0" shapeId="0">
      <text>
        <t>Loan: Peapack Capital, 1 Autocar Spotter (May 2022).
Source: Meiborg_Debt_Schedule_202511.xlsx</t>
      </text>
    </comment>
    <comment ref="B69" authorId="0" shapeId="0">
      <text>
        <t>Loan: Peapack Capital, 1 Autocar Spotter (May 2022).
Source: Meiborg_Debt_Schedule_202511.xlsx</t>
      </text>
    </comment>
    <comment ref="C81" authorId="0" shapeId="0">
      <text>
        <t>Loan: Peapack Capital, 1 Autocar Spotter (May 2022).
Source: Meiborg_Debt_Schedule_202511.xlsx</t>
      </text>
    </comment>
    <comment ref="D81" authorId="0" shapeId="0">
      <text>
        <t>Interest = MAX(0, Opening * AnnualRate / 12)</t>
      </text>
    </comment>
    <comment ref="E81" authorId="0" shapeId="0">
      <text>
        <t>Principal = MAX(0, MIN(Opening, Payment - Interest))</t>
      </text>
    </comment>
    <comment ref="F81" authorId="0" shapeId="0">
      <text>
        <t>Closing = MAX(0, Opening - Principal)</t>
      </text>
    </comment>
    <comment ref="C82" authorId="0" shapeId="0">
      <text>
        <t>Loan: Peapack Capital, 1 Autocar Spotter (May 2022).
Source: Meiborg_Debt_Schedule_202511.xlsx</t>
      </text>
    </comment>
    <comment ref="D82" authorId="0" shapeId="0">
      <text>
        <t>Interest = MAX(0, Opening * AnnualRate / 12)</t>
      </text>
    </comment>
    <comment ref="E82" authorId="0" shapeId="0">
      <text>
        <t>Principal = MAX(0, MIN(Opening, Payment - Interest))</t>
      </text>
    </comment>
    <comment ref="F82" authorId="0" shapeId="0">
      <text>
        <t>Closing = MAX(0, Opening - Principal)</t>
      </text>
    </comment>
    <comment ref="C83" authorId="0" shapeId="0">
      <text>
        <t>Loan: Peapack Capital, 1 Autocar Spotter (May 2022).
Source: Meiborg_Debt_Schedule_202511.xlsx</t>
      </text>
    </comment>
    <comment ref="D83" authorId="0" shapeId="0">
      <text>
        <t>Interest = MAX(0, Opening * AnnualRate / 12)</t>
      </text>
    </comment>
    <comment ref="E83" authorId="0" shapeId="0">
      <text>
        <t>Principal = MAX(0, MIN(Opening, Payment - Interest))</t>
      </text>
    </comment>
    <comment ref="F83" authorId="0" shapeId="0">
      <text>
        <t>Closing = MAX(0, Opening - Principal)</t>
      </text>
    </comment>
    <comment ref="C84" authorId="0" shapeId="0">
      <text>
        <t>Loan: Peapack Capital, 1 Autocar Spotter (May 2022).
Source: Meiborg_Debt_Schedule_202511.xlsx</t>
      </text>
    </comment>
    <comment ref="D84" authorId="0" shapeId="0">
      <text>
        <t>Interest = MAX(0, Opening * AnnualRate / 12)</t>
      </text>
    </comment>
    <comment ref="E84" authorId="0" shapeId="0">
      <text>
        <t>Principal = MAX(0, MIN(Opening, Payment - Interest))</t>
      </text>
    </comment>
    <comment ref="F84" authorId="0" shapeId="0">
      <text>
        <t>Closing = MAX(0, Opening - Principal)</t>
      </text>
    </comment>
    <comment ref="C85" authorId="0" shapeId="0">
      <text>
        <t>Loan: Peapack Capital, 1 Autocar Spotter (May 2022).
Source: Meiborg_Debt_Schedule_202511.xlsx</t>
      </text>
    </comment>
    <comment ref="D85" authorId="0" shapeId="0">
      <text>
        <t>Interest = MAX(0, Opening * AnnualRate / 12)</t>
      </text>
    </comment>
    <comment ref="E85" authorId="0" shapeId="0">
      <text>
        <t>Principal = MAX(0, MIN(Opening, Payment - Interest))</t>
      </text>
    </comment>
    <comment ref="F85" authorId="0" shapeId="0">
      <text>
        <t>Closing = MAX(0, Opening - Principal)</t>
      </text>
    </comment>
    <comment ref="C86" authorId="0" shapeId="0">
      <text>
        <t>Loan: Peapack Capital, 1 Autocar Spotter (May 2022).
Source: Meiborg_Debt_Schedule_202511.xlsx</t>
      </text>
    </comment>
    <comment ref="D86" authorId="0" shapeId="0">
      <text>
        <t>Interest = MAX(0, Opening * AnnualRate / 12)</t>
      </text>
    </comment>
    <comment ref="E86" authorId="0" shapeId="0">
      <text>
        <t>Principal = MAX(0, MIN(Opening, Payment - Interest))</t>
      </text>
    </comment>
    <comment ref="F86" authorId="0" shapeId="0">
      <text>
        <t>Closing = MAX(0, Opening - Principal)</t>
      </text>
    </comment>
    <comment ref="C87" authorId="0" shapeId="0">
      <text>
        <t>Loan: Peapack Capital, 1 Autocar Spotter (May 2022).
Source: Meiborg_Debt_Schedule_202511.xlsx</t>
      </text>
    </comment>
    <comment ref="D87" authorId="0" shapeId="0">
      <text>
        <t>Interest = MAX(0, Opening * AnnualRate / 12)</t>
      </text>
    </comment>
    <comment ref="E87" authorId="0" shapeId="0">
      <text>
        <t>Principal = MAX(0, MIN(Opening, Payment - Interest))</t>
      </text>
    </comment>
    <comment ref="F87" authorId="0" shapeId="0">
      <text>
        <t>Closing = MAX(0, Opening - Principal)</t>
      </text>
    </comment>
    <comment ref="C88" authorId="0" shapeId="0">
      <text>
        <t>Loan: Peapack Capital, 1 Autocar Spotter (May 2022).
Source: Meiborg_Debt_Schedule_202511.xlsx</t>
      </text>
    </comment>
    <comment ref="D88" authorId="0" shapeId="0">
      <text>
        <t>Interest = MAX(0, Opening * AnnualRate / 12)</t>
      </text>
    </comment>
    <comment ref="E88" authorId="0" shapeId="0">
      <text>
        <t>Principal = MAX(0, MIN(Opening, Payment - Interest))</t>
      </text>
    </comment>
    <comment ref="F88" authorId="0" shapeId="0">
      <text>
        <t>Closing = MAX(0, Opening - Principal)</t>
      </text>
    </comment>
    <comment ref="C89" authorId="0" shapeId="0">
      <text>
        <t>Loan: Peapack Capital, 1 Autocar Spotter (May 2022).
Source: Meiborg_Debt_Schedule_202511.xlsx</t>
      </text>
    </comment>
    <comment ref="D89" authorId="0" shapeId="0">
      <text>
        <t>Interest = MAX(0, Opening * AnnualRate / 12)</t>
      </text>
    </comment>
    <comment ref="E89" authorId="0" shapeId="0">
      <text>
        <t>Principal = MAX(0, MIN(Opening, Payment - Interest))</t>
      </text>
    </comment>
    <comment ref="F89" authorId="0" shapeId="0">
      <text>
        <t>Closing = MAX(0, Opening - Principal)</t>
      </text>
    </comment>
    <comment ref="C90" authorId="0" shapeId="0">
      <text>
        <t>Loan: Peapack Capital, 1 Autocar Spotter (May 2022).
Source: Meiborg_Debt_Schedule_202511.xlsx</t>
      </text>
    </comment>
    <comment ref="D90" authorId="0" shapeId="0">
      <text>
        <t>Interest = MAX(0, Opening * AnnualRate / 12)</t>
      </text>
    </comment>
    <comment ref="E90" authorId="0" shapeId="0">
      <text>
        <t>Principal = MAX(0, MIN(Opening, Payment - Interest))</t>
      </text>
    </comment>
    <comment ref="F90" authorId="0" shapeId="0">
      <text>
        <t>Closing = MAX(0, Opening - Principal)</t>
      </text>
    </comment>
    <comment ref="C91" authorId="0" shapeId="0">
      <text>
        <t>Loan: Peapack Capital, 1 Autocar Spotter (May 2022).
Source: Meiborg_Debt_Schedule_202511.xlsx</t>
      </text>
    </comment>
    <comment ref="D91" authorId="0" shapeId="0">
      <text>
        <t>Interest = MAX(0, Opening * AnnualRate / 12)</t>
      </text>
    </comment>
    <comment ref="E91" authorId="0" shapeId="0">
      <text>
        <t>Principal = MAX(0, MIN(Opening, Payment - Interest))</t>
      </text>
    </comment>
    <comment ref="F91" authorId="0" shapeId="0">
      <text>
        <t>Closing = MAX(0, Opening - Principal)</t>
      </text>
    </comment>
    <comment ref="C92" authorId="0" shapeId="0">
      <text>
        <t>Loan: Peapack Capital, 1 Autocar Spotter (May 2022).
Source: Meiborg_Debt_Schedule_202511.xlsx</t>
      </text>
    </comment>
    <comment ref="D92" authorId="0" shapeId="0">
      <text>
        <t>Interest = MAX(0, Opening * AnnualRate / 12)</t>
      </text>
    </comment>
    <comment ref="E92" authorId="0" shapeId="0">
      <text>
        <t>Principal = MAX(0, MIN(Opening, Payment - Interest))</t>
      </text>
    </comment>
    <comment ref="F92" authorId="0" shapeId="0">
      <text>
        <t>Closing = MAX(0, Opening - Principal)</t>
      </text>
    </comment>
    <comment ref="C93" authorId="0" shapeId="0">
      <text>
        <t>Loan: Peapack Capital, 1 Autocar Spotter (May 2022).
Source: Meiborg_Debt_Schedule_202511.xlsx</t>
      </text>
    </comment>
    <comment ref="D93" authorId="0" shapeId="0">
      <text>
        <t>Interest = MAX(0, Opening * AnnualRate / 12)</t>
      </text>
    </comment>
    <comment ref="E93" authorId="0" shapeId="0">
      <text>
        <t>Principal = MAX(0, MIN(Opening, Payment - Interest))</t>
      </text>
    </comment>
    <comment ref="F93" authorId="0" shapeId="0">
      <text>
        <t>Closing = MAX(0, Opening - Principal)</t>
      </text>
    </comment>
    <comment ref="C94" authorId="0" shapeId="0">
      <text>
        <t>Loan: Peapack Capital, 1 Autocar Spotter (May 2022).
Source: Meiborg_Debt_Schedule_202511.xlsx</t>
      </text>
    </comment>
    <comment ref="D94" authorId="0" shapeId="0">
      <text>
        <t>Interest = MAX(0, Opening * AnnualRate / 12)</t>
      </text>
    </comment>
    <comment ref="E94" authorId="0" shapeId="0">
      <text>
        <t>Principal = MAX(0, MIN(Opening, Payment - Interest))</t>
      </text>
    </comment>
    <comment ref="F94" authorId="0" shapeId="0">
      <text>
        <t>Closing = MAX(0, Opening - Principal)</t>
      </text>
    </comment>
    <comment ref="C95" authorId="0" shapeId="0">
      <text>
        <t>Loan: Peapack Capital, 1 Autocar Spotter (May 2022).
Source: Meiborg_Debt_Schedule_202511.xlsx</t>
      </text>
    </comment>
    <comment ref="D95" authorId="0" shapeId="0">
      <text>
        <t>Interest = MAX(0, Opening * AnnualRate / 12)</t>
      </text>
    </comment>
    <comment ref="E95" authorId="0" shapeId="0">
      <text>
        <t>Principal = MAX(0, MIN(Opening, Payment - Interest))</t>
      </text>
    </comment>
    <comment ref="F95" authorId="0" shapeId="0">
      <text>
        <t>Closing = MAX(0, Opening - Principal)</t>
      </text>
    </comment>
    <comment ref="C96" authorId="0" shapeId="0">
      <text>
        <t>Loan: Peapack Capital, 1 Autocar Spotter (May 2022).
Source: Meiborg_Debt_Schedule_202511.xlsx</t>
      </text>
    </comment>
    <comment ref="D96" authorId="0" shapeId="0">
      <text>
        <t>Interest = MAX(0, Opening * AnnualRate / 12)</t>
      </text>
    </comment>
    <comment ref="E96" authorId="0" shapeId="0">
      <text>
        <t>Principal = MAX(0, MIN(Opening, Payment - Interest))</t>
      </text>
    </comment>
    <comment ref="F96" authorId="0" shapeId="0">
      <text>
        <t>Closing = MAX(0, Opening - Principal)</t>
      </text>
    </comment>
    <comment ref="C97" authorId="0" shapeId="0">
      <text>
        <t>Loan: Peapack Capital, 1 Autocar Spotter (May 2022).
Source: Meiborg_Debt_Schedule_202511.xlsx</t>
      </text>
    </comment>
    <comment ref="D97" authorId="0" shapeId="0">
      <text>
        <t>Interest = MAX(0, Opening * AnnualRate / 12)</t>
      </text>
    </comment>
    <comment ref="E97" authorId="0" shapeId="0">
      <text>
        <t>Principal = MAX(0, MIN(Opening, Payment - Interest))</t>
      </text>
    </comment>
    <comment ref="F97" authorId="0" shapeId="0">
      <text>
        <t>Closing = MAX(0, Opening - Principal)</t>
      </text>
    </comment>
    <comment ref="C98" authorId="0" shapeId="0">
      <text>
        <t>Loan: Peapack Capital, 1 Autocar Spotter (May 2022).
Source: Meiborg_Debt_Schedule_202511.xlsx</t>
      </text>
    </comment>
    <comment ref="D98" authorId="0" shapeId="0">
      <text>
        <t>Interest = MAX(0, Opening * AnnualRate / 12)</t>
      </text>
    </comment>
    <comment ref="E98" authorId="0" shapeId="0">
      <text>
        <t>Principal = MAX(0, MIN(Opening, Payment - Interest))</t>
      </text>
    </comment>
    <comment ref="F98" authorId="0" shapeId="0">
      <text>
        <t>Closing = MAX(0, Opening - Principal)</t>
      </text>
    </comment>
    <comment ref="C99" authorId="0" shapeId="0">
      <text>
        <t>Loan: Peapack Capital, 1 Autocar Spotter (May 2022).
Source: Meiborg_Debt_Schedule_202511.xlsx</t>
      </text>
    </comment>
    <comment ref="D99" authorId="0" shapeId="0">
      <text>
        <t>Interest = MAX(0, Opening * AnnualRate / 12)</t>
      </text>
    </comment>
    <comment ref="E99" authorId="0" shapeId="0">
      <text>
        <t>Principal = MAX(0, MIN(Opening, Payment - Interest))</t>
      </text>
    </comment>
    <comment ref="F99" authorId="0" shapeId="0">
      <text>
        <t>Closing = MAX(0, Opening - Principal)</t>
      </text>
    </comment>
    <comment ref="C100" authorId="0" shapeId="0">
      <text>
        <t>Loan: Peapack Capital, 1 Autocar Spotter (May 2022).
Source: Meiborg_Debt_Schedule_202511.xlsx</t>
      </text>
    </comment>
    <comment ref="D100" authorId="0" shapeId="0">
      <text>
        <t>Interest = MAX(0, Opening * AnnualRate / 12)</t>
      </text>
    </comment>
    <comment ref="E100" authorId="0" shapeId="0">
      <text>
        <t>Principal = MAX(0, MIN(Opening, Payment - Interest))</t>
      </text>
    </comment>
    <comment ref="F100" authorId="0" shapeId="0">
      <text>
        <t>Closing = MAX(0, Opening - Principal)</t>
      </text>
    </comment>
    <comment ref="D101" authorId="0" shapeId="0">
      <text>
        <t>Sum of rows 81-100: Interest</t>
      </text>
    </comment>
    <comment ref="E101" authorId="0" shapeId="0">
      <text>
        <t>Sum of rows 81-100: Principal</t>
      </text>
    </comment>
    <comment ref="B108" authorId="0" shapeId="0">
      <text>
        <t>Loan: Peapack Capital, 4 Forklifts (Nov 2022).
Source: Meiborg_Debt_Schedule_202511.xlsx</t>
      </text>
    </comment>
    <comment ref="B109" authorId="0" shapeId="0">
      <text>
        <t>Loan: Peapack Capital, 4 Forklifts (Nov 2022).
Source: Meiborg_Debt_Schedule_202511.xlsx</t>
      </text>
    </comment>
    <comment ref="B110" authorId="0" shapeId="0">
      <text>
        <t>Loan: Peapack Capital, 4 Forklifts (Nov 2022).
Source: Meiborg_Debt_Schedule_202511.xlsx</t>
      </text>
    </comment>
    <comment ref="B111" authorId="0" shapeId="0">
      <text>
        <t>Loan: Peapack Capital, 4 Forklifts (Nov 2022).
Source: Meiborg_Debt_Schedule_202511.xlsx</t>
      </text>
    </comment>
    <comment ref="C124" authorId="0" shapeId="0">
      <text>
        <t>Loan: Peapack Capital, 4 Forklifts (Nov 2022).
Source: Meiborg_Debt_Schedule_202511.xlsx</t>
      </text>
    </comment>
    <comment ref="D124" authorId="0" shapeId="0">
      <text>
        <t>Interest = MAX(0, Opening * AnnualRate / 12)</t>
      </text>
    </comment>
    <comment ref="E124" authorId="0" shapeId="0">
      <text>
        <t>Principal = MAX(0, MIN(Opening, Payment - Interest))</t>
      </text>
    </comment>
    <comment ref="F124" authorId="0" shapeId="0">
      <text>
        <t>Closing = MAX(0, Opening - Principal)</t>
      </text>
    </comment>
    <comment ref="C125" authorId="0" shapeId="0">
      <text>
        <t>Loan: Peapack Capital, 4 Forklifts (Nov 2022).
Source: Meiborg_Debt_Schedule_202511.xlsx</t>
      </text>
    </comment>
    <comment ref="D125" authorId="0" shapeId="0">
      <text>
        <t>Interest = MAX(0, Opening * AnnualRate / 12)</t>
      </text>
    </comment>
    <comment ref="E125" authorId="0" shapeId="0">
      <text>
        <t>Principal = MAX(0, MIN(Opening, Payment - Interest))</t>
      </text>
    </comment>
    <comment ref="F125" authorId="0" shapeId="0">
      <text>
        <t>Closing = MAX(0, Opening - Principal)</t>
      </text>
    </comment>
    <comment ref="D126" authorId="0" shapeId="0">
      <text>
        <t>Sum of rows 124-125: Interest</t>
      </text>
    </comment>
    <comment ref="E126" authorId="0" shapeId="0">
      <text>
        <t>Sum of rows 124-125: Principal</t>
      </text>
    </comment>
    <comment ref="B133" authorId="0" shapeId="0">
      <text>
        <t>Loan: Peapack Capital, 1 Electric Forklift (July 2024).
Source: Meiborg_Debt_Schedule_202511.xlsx</t>
      </text>
    </comment>
    <comment ref="B134" authorId="0" shapeId="0">
      <text>
        <t>Loan: Peapack Capital, 1 Electric Forklift (July 2024).
Source: Meiborg_Debt_Schedule_202511.xlsx</t>
      </text>
    </comment>
    <comment ref="B135" authorId="0" shapeId="0">
      <text>
        <t>Loan: Peapack Capital, 1 Electric Forklift (July 2024).
Source: Meiborg_Debt_Schedule_202511.xlsx</t>
      </text>
    </comment>
    <comment ref="B136" authorId="0" shapeId="0">
      <text>
        <t>Loan: Peapack Capital, 1 Electric Forklift (July 2024).
Source: Meiborg_Debt_Schedule_202511.xlsx</t>
      </text>
    </comment>
    <comment ref="C148" authorId="0" shapeId="0">
      <text>
        <t>Loan: Peapack Capital, 1 Electric Forklift (July 2024).
Source: Meiborg_Debt_Schedule_202511.xlsx</t>
      </text>
    </comment>
    <comment ref="D148" authorId="0" shapeId="0">
      <text>
        <t>Interest = MAX(0, Opening * AnnualRate / 12)</t>
      </text>
    </comment>
    <comment ref="E148" authorId="0" shapeId="0">
      <text>
        <t>Principal = MAX(0, MIN(Opening, Payment - Interest))</t>
      </text>
    </comment>
    <comment ref="F148" authorId="0" shapeId="0">
      <text>
        <t>Closing = MAX(0, Opening - Principal)</t>
      </text>
    </comment>
    <comment ref="C149" authorId="0" shapeId="0">
      <text>
        <t>Loan: Peapack Capital, 1 Electric Forklift (July 2024).
Source: Meiborg_Debt_Schedule_202511.xlsx</t>
      </text>
    </comment>
    <comment ref="D149" authorId="0" shapeId="0">
      <text>
        <t>Interest = MAX(0, Opening * AnnualRate / 12)</t>
      </text>
    </comment>
    <comment ref="E149" authorId="0" shapeId="0">
      <text>
        <t>Principal = MAX(0, MIN(Opening, Payment - Interest))</t>
      </text>
    </comment>
    <comment ref="F149" authorId="0" shapeId="0">
      <text>
        <t>Closing = MAX(0, Opening - Principal)</t>
      </text>
    </comment>
    <comment ref="C150" authorId="0" shapeId="0">
      <text>
        <t>Loan: Peapack Capital, 1 Electric Forklift (July 2024).
Source: Meiborg_Debt_Schedule_202511.xlsx</t>
      </text>
    </comment>
    <comment ref="D150" authorId="0" shapeId="0">
      <text>
        <t>Interest = MAX(0, Opening * AnnualRate / 12)</t>
      </text>
    </comment>
    <comment ref="E150" authorId="0" shapeId="0">
      <text>
        <t>Principal = MAX(0, MIN(Opening, Payment - Interest))</t>
      </text>
    </comment>
    <comment ref="F150" authorId="0" shapeId="0">
      <text>
        <t>Closing = MAX(0, Opening - Principal)</t>
      </text>
    </comment>
    <comment ref="C151" authorId="0" shapeId="0">
      <text>
        <t>Loan: Peapack Capital, 1 Electric Forklift (July 2024).
Source: Meiborg_Debt_Schedule_202511.xlsx</t>
      </text>
    </comment>
    <comment ref="D151" authorId="0" shapeId="0">
      <text>
        <t>Interest = MAX(0, Opening * AnnualRate / 12)</t>
      </text>
    </comment>
    <comment ref="E151" authorId="0" shapeId="0">
      <text>
        <t>Principal = MAX(0, MIN(Opening, Payment - Interest))</t>
      </text>
    </comment>
    <comment ref="F151" authorId="0" shapeId="0">
      <text>
        <t>Closing = MAX(0, Opening - Principal)</t>
      </text>
    </comment>
    <comment ref="C152" authorId="0" shapeId="0">
      <text>
        <t>Loan: Peapack Capital, 1 Electric Forklift (July 2024).
Source: Meiborg_Debt_Schedule_202511.xlsx</t>
      </text>
    </comment>
    <comment ref="D152" authorId="0" shapeId="0">
      <text>
        <t>Interest = MAX(0, Opening * AnnualRate / 12)</t>
      </text>
    </comment>
    <comment ref="E152" authorId="0" shapeId="0">
      <text>
        <t>Principal = MAX(0, MIN(Opening, Payment - Interest))</t>
      </text>
    </comment>
    <comment ref="F152" authorId="0" shapeId="0">
      <text>
        <t>Closing = MAX(0, Opening - Principal)</t>
      </text>
    </comment>
    <comment ref="C153" authorId="0" shapeId="0">
      <text>
        <t>Loan: Peapack Capital, 1 Electric Forklift (July 2024).
Source: Meiborg_Debt_Schedule_202511.xlsx</t>
      </text>
    </comment>
    <comment ref="D153" authorId="0" shapeId="0">
      <text>
        <t>Interest = MAX(0, Opening * AnnualRate / 12)</t>
      </text>
    </comment>
    <comment ref="E153" authorId="0" shapeId="0">
      <text>
        <t>Principal = MAX(0, MIN(Opening, Payment - Interest))</t>
      </text>
    </comment>
    <comment ref="F153" authorId="0" shapeId="0">
      <text>
        <t>Closing = MAX(0, Opening - Principal)</t>
      </text>
    </comment>
    <comment ref="C154" authorId="0" shapeId="0">
      <text>
        <t>Loan: Peapack Capital, 1 Electric Forklift (July 2024).
Source: Meiborg_Debt_Schedule_202511.xlsx</t>
      </text>
    </comment>
    <comment ref="D154" authorId="0" shapeId="0">
      <text>
        <t>Interest = MAX(0, Opening * AnnualRate / 12)</t>
      </text>
    </comment>
    <comment ref="E154" authorId="0" shapeId="0">
      <text>
        <t>Principal = MAX(0, MIN(Opening, Payment - Interest))</t>
      </text>
    </comment>
    <comment ref="F154" authorId="0" shapeId="0">
      <text>
        <t>Closing = MAX(0, Opening - Principal)</t>
      </text>
    </comment>
    <comment ref="C155" authorId="0" shapeId="0">
      <text>
        <t>Loan: Peapack Capital, 1 Electric Forklift (July 2024).
Source: Meiborg_Debt_Schedule_202511.xlsx</t>
      </text>
    </comment>
    <comment ref="D155" authorId="0" shapeId="0">
      <text>
        <t>Interest = MAX(0, Opening * AnnualRate / 12)</t>
      </text>
    </comment>
    <comment ref="E155" authorId="0" shapeId="0">
      <text>
        <t>Principal = MAX(0, MIN(Opening, Payment - Interest))</t>
      </text>
    </comment>
    <comment ref="F155" authorId="0" shapeId="0">
      <text>
        <t>Closing = MAX(0, Opening - Principal)</t>
      </text>
    </comment>
    <comment ref="C156" authorId="0" shapeId="0">
      <text>
        <t>Loan: Peapack Capital, 1 Electric Forklift (July 2024).
Source: Meiborg_Debt_Schedule_202511.xlsx</t>
      </text>
    </comment>
    <comment ref="D156" authorId="0" shapeId="0">
      <text>
        <t>Interest = MAX(0, Opening * AnnualRate / 12)</t>
      </text>
    </comment>
    <comment ref="E156" authorId="0" shapeId="0">
      <text>
        <t>Principal = MAX(0, MIN(Opening, Payment - Interest))</t>
      </text>
    </comment>
    <comment ref="F156" authorId="0" shapeId="0">
      <text>
        <t>Closing = MAX(0, Opening - Principal)</t>
      </text>
    </comment>
    <comment ref="C157" authorId="0" shapeId="0">
      <text>
        <t>Loan: Peapack Capital, 1 Electric Forklift (July 2024).
Source: Meiborg_Debt_Schedule_202511.xlsx</t>
      </text>
    </comment>
    <comment ref="D157" authorId="0" shapeId="0">
      <text>
        <t>Interest = MAX(0, Opening * AnnualRate / 12)</t>
      </text>
    </comment>
    <comment ref="E157" authorId="0" shapeId="0">
      <text>
        <t>Principal = MAX(0, MIN(Opening, Payment - Interest))</t>
      </text>
    </comment>
    <comment ref="F157" authorId="0" shapeId="0">
      <text>
        <t>Closing = MAX(0, Opening - Principal)</t>
      </text>
    </comment>
    <comment ref="C158" authorId="0" shapeId="0">
      <text>
        <t>Loan: Peapack Capital, 1 Electric Forklift (July 2024).
Source: Meiborg_Debt_Schedule_202511.xlsx</t>
      </text>
    </comment>
    <comment ref="D158" authorId="0" shapeId="0">
      <text>
        <t>Interest = MAX(0, Opening * AnnualRate / 12)</t>
      </text>
    </comment>
    <comment ref="E158" authorId="0" shapeId="0">
      <text>
        <t>Principal = MAX(0, MIN(Opening, Payment - Interest))</t>
      </text>
    </comment>
    <comment ref="F158" authorId="0" shapeId="0">
      <text>
        <t>Closing = MAX(0, Opening - Principal)</t>
      </text>
    </comment>
    <comment ref="C159" authorId="0" shapeId="0">
      <text>
        <t>Loan: Peapack Capital, 1 Electric Forklift (July 2024).
Source: Meiborg_Debt_Schedule_202511.xlsx</t>
      </text>
    </comment>
    <comment ref="D159" authorId="0" shapeId="0">
      <text>
        <t>Interest = MAX(0, Opening * AnnualRate / 12)</t>
      </text>
    </comment>
    <comment ref="E159" authorId="0" shapeId="0">
      <text>
        <t>Principal = MAX(0, MIN(Opening, Payment - Interest))</t>
      </text>
    </comment>
    <comment ref="F159" authorId="0" shapeId="0">
      <text>
        <t>Closing = MAX(0, Opening - Principal)</t>
      </text>
    </comment>
    <comment ref="C160" authorId="0" shapeId="0">
      <text>
        <t>Loan: Peapack Capital, 1 Electric Forklift (July 2024).
Source: Meiborg_Debt_Schedule_202511.xlsx</t>
      </text>
    </comment>
    <comment ref="D160" authorId="0" shapeId="0">
      <text>
        <t>Interest = MAX(0, Opening * AnnualRate / 12)</t>
      </text>
    </comment>
    <comment ref="E160" authorId="0" shapeId="0">
      <text>
        <t>Principal = MAX(0, MIN(Opening, Payment - Interest))</t>
      </text>
    </comment>
    <comment ref="F160" authorId="0" shapeId="0">
      <text>
        <t>Closing = MAX(0, Opening - Principal)</t>
      </text>
    </comment>
    <comment ref="C161" authorId="0" shapeId="0">
      <text>
        <t>Loan: Peapack Capital, 1 Electric Forklift (July 2024).
Source: Meiborg_Debt_Schedule_202511.xlsx</t>
      </text>
    </comment>
    <comment ref="D161" authorId="0" shapeId="0">
      <text>
        <t>Interest = MAX(0, Opening * AnnualRate / 12)</t>
      </text>
    </comment>
    <comment ref="E161" authorId="0" shapeId="0">
      <text>
        <t>Principal = MAX(0, MIN(Opening, Payment - Interest))</t>
      </text>
    </comment>
    <comment ref="F161" authorId="0" shapeId="0">
      <text>
        <t>Closing = MAX(0, Opening - Principal)</t>
      </text>
    </comment>
    <comment ref="C162" authorId="0" shapeId="0">
      <text>
        <t>Loan: Peapack Capital, 1 Electric Forklift (July 2024).
Source: Meiborg_Debt_Schedule_202511.xlsx</t>
      </text>
    </comment>
    <comment ref="D162" authorId="0" shapeId="0">
      <text>
        <t>Interest = MAX(0, Opening * AnnualRate / 12)</t>
      </text>
    </comment>
    <comment ref="E162" authorId="0" shapeId="0">
      <text>
        <t>Principal = MAX(0, MIN(Opening, Payment - Interest))</t>
      </text>
    </comment>
    <comment ref="F162" authorId="0" shapeId="0">
      <text>
        <t>Closing = MAX(0, Opening - Principal)</t>
      </text>
    </comment>
    <comment ref="C163" authorId="0" shapeId="0">
      <text>
        <t>Loan: Peapack Capital, 1 Electric Forklift (July 2024).
Source: Meiborg_Debt_Schedule_202511.xlsx</t>
      </text>
    </comment>
    <comment ref="D163" authorId="0" shapeId="0">
      <text>
        <t>Interest = MAX(0, Opening * AnnualRate / 12)</t>
      </text>
    </comment>
    <comment ref="E163" authorId="0" shapeId="0">
      <text>
        <t>Principal = MAX(0, MIN(Opening, Payment - Interest))</t>
      </text>
    </comment>
    <comment ref="F163" authorId="0" shapeId="0">
      <text>
        <t>Closing = MAX(0, Opening - Principal)</t>
      </text>
    </comment>
    <comment ref="C164" authorId="0" shapeId="0">
      <text>
        <t>Loan: Peapack Capital, 1 Electric Forklift (July 2024).
Source: Meiborg_Debt_Schedule_202511.xlsx</t>
      </text>
    </comment>
    <comment ref="D164" authorId="0" shapeId="0">
      <text>
        <t>Interest = MAX(0, Opening * AnnualRate / 12)</t>
      </text>
    </comment>
    <comment ref="E164" authorId="0" shapeId="0">
      <text>
        <t>Principal = MAX(0, MIN(Opening, Payment - Interest))</t>
      </text>
    </comment>
    <comment ref="F164" authorId="0" shapeId="0">
      <text>
        <t>Closing = MAX(0, Opening - Principal)</t>
      </text>
    </comment>
    <comment ref="C165" authorId="0" shapeId="0">
      <text>
        <t>Loan: Peapack Capital, 1 Electric Forklift (July 2024).
Source: Meiborg_Debt_Schedule_202511.xlsx</t>
      </text>
    </comment>
    <comment ref="D165" authorId="0" shapeId="0">
      <text>
        <t>Interest = MAX(0, Opening * AnnualRate / 12)</t>
      </text>
    </comment>
    <comment ref="E165" authorId="0" shapeId="0">
      <text>
        <t>Principal = MAX(0, MIN(Opening, Payment - Interest))</t>
      </text>
    </comment>
    <comment ref="F165" authorId="0" shapeId="0">
      <text>
        <t>Closing = MAX(0, Opening - Principal)</t>
      </text>
    </comment>
    <comment ref="C166" authorId="0" shapeId="0">
      <text>
        <t>Loan: Peapack Capital, 1 Electric Forklift (July 2024).
Source: Meiborg_Debt_Schedule_202511.xlsx</t>
      </text>
    </comment>
    <comment ref="D166" authorId="0" shapeId="0">
      <text>
        <t>Interest = MAX(0, Opening * AnnualRate / 12)</t>
      </text>
    </comment>
    <comment ref="E166" authorId="0" shapeId="0">
      <text>
        <t>Principal = MAX(0, MIN(Opening, Payment - Interest))</t>
      </text>
    </comment>
    <comment ref="F166" authorId="0" shapeId="0">
      <text>
        <t>Closing = MAX(0, Opening - Principal)</t>
      </text>
    </comment>
    <comment ref="C167" authorId="0" shapeId="0">
      <text>
        <t>Loan: Peapack Capital, 1 Electric Forklift (July 2024).
Source: Meiborg_Debt_Schedule_202511.xlsx</t>
      </text>
    </comment>
    <comment ref="D167" authorId="0" shapeId="0">
      <text>
        <t>Interest = MAX(0, Opening * AnnualRate / 12)</t>
      </text>
    </comment>
    <comment ref="E167" authorId="0" shapeId="0">
      <text>
        <t>Principal = MAX(0, MIN(Opening, Payment - Interest))</t>
      </text>
    </comment>
    <comment ref="F167" authorId="0" shapeId="0">
      <text>
        <t>Closing = MAX(0, Opening - Principal)</t>
      </text>
    </comment>
    <comment ref="C168" authorId="0" shapeId="0">
      <text>
        <t>Loan: Peapack Capital, 1 Electric Forklift (July 2024).
Source: Meiborg_Debt_Schedule_202511.xlsx</t>
      </text>
    </comment>
    <comment ref="D168" authorId="0" shapeId="0">
      <text>
        <t>Interest = MAX(0, Opening * AnnualRate / 12)</t>
      </text>
    </comment>
    <comment ref="E168" authorId="0" shapeId="0">
      <text>
        <t>Principal = MAX(0, MIN(Opening, Payment - Interest))</t>
      </text>
    </comment>
    <comment ref="F168" authorId="0" shapeId="0">
      <text>
        <t>Closing = MAX(0, Opening - Principal)</t>
      </text>
    </comment>
    <comment ref="C169" authorId="0" shapeId="0">
      <text>
        <t>Loan: Peapack Capital, 1 Electric Forklift (July 2024).
Source: Meiborg_Debt_Schedule_202511.xlsx</t>
      </text>
    </comment>
    <comment ref="D169" authorId="0" shapeId="0">
      <text>
        <t>Interest = MAX(0, Opening * AnnualRate / 12)</t>
      </text>
    </comment>
    <comment ref="E169" authorId="0" shapeId="0">
      <text>
        <t>Principal = MAX(0, MIN(Opening, Payment - Interest))</t>
      </text>
    </comment>
    <comment ref="F169" authorId="0" shapeId="0">
      <text>
        <t>Closing = MAX(0, Opening - Principal)</t>
      </text>
    </comment>
    <comment ref="D170" authorId="0" shapeId="0">
      <text>
        <t>Sum of rows 148-169: Interest</t>
      </text>
    </comment>
    <comment ref="E170" authorId="0" shapeId="0">
      <text>
        <t>Sum of rows 148-169: Principal</t>
      </text>
    </comment>
    <comment ref="B177" authorId="0" shapeId="0">
      <text>
        <t>Loan: Peapack Capital, 25 Trailers (July 2024).
Source: Meiborg_Debt_Schedule_202511.xlsx</t>
      </text>
    </comment>
    <comment ref="B178" authorId="0" shapeId="0">
      <text>
        <t>Loan: Peapack Capital, 25 Trailers (July 2024).
Source: Meiborg_Debt_Schedule_202511.xlsx</t>
      </text>
    </comment>
    <comment ref="B179" authorId="0" shapeId="0">
      <text>
        <t>Loan: Peapack Capital, 25 Trailers (July 2024).
Source: Meiborg_Debt_Schedule_202511.xlsx</t>
      </text>
    </comment>
    <comment ref="B180" authorId="0" shapeId="0">
      <text>
        <t>Loan: Peapack Capital, 25 Trailers (July 2024).
Source: Meiborg_Debt_Schedule_202511.xlsx</t>
      </text>
    </comment>
    <comment ref="C192" authorId="0" shapeId="0">
      <text>
        <t>Loan: Peapack Capital, 25 Trailers (July 2024).
Source: Meiborg_Debt_Schedule_202511.xlsx</t>
      </text>
    </comment>
    <comment ref="D192" authorId="0" shapeId="0">
      <text>
        <t>Interest = MAX(0, Opening * AnnualRate / 12)</t>
      </text>
    </comment>
    <comment ref="E192" authorId="0" shapeId="0">
      <text>
        <t>Principal = MAX(0, MIN(Opening, Payment - Interest))</t>
      </text>
    </comment>
    <comment ref="F192" authorId="0" shapeId="0">
      <text>
        <t>Closing = MAX(0, Opening - Principal)</t>
      </text>
    </comment>
    <comment ref="C193" authorId="0" shapeId="0">
      <text>
        <t>Loan: Peapack Capital, 25 Trailers (July 2024).
Source: Meiborg_Debt_Schedule_202511.xlsx</t>
      </text>
    </comment>
    <comment ref="D193" authorId="0" shapeId="0">
      <text>
        <t>Interest = MAX(0, Opening * AnnualRate / 12)</t>
      </text>
    </comment>
    <comment ref="E193" authorId="0" shapeId="0">
      <text>
        <t>Principal = MAX(0, MIN(Opening, Payment - Interest))</t>
      </text>
    </comment>
    <comment ref="F193" authorId="0" shapeId="0">
      <text>
        <t>Closing = MAX(0, Opening - Principal)</t>
      </text>
    </comment>
    <comment ref="C194" authorId="0" shapeId="0">
      <text>
        <t>Loan: Peapack Capital, 25 Trailers (July 2024).
Source: Meiborg_Debt_Schedule_202511.xlsx</t>
      </text>
    </comment>
    <comment ref="D194" authorId="0" shapeId="0">
      <text>
        <t>Interest = MAX(0, Opening * AnnualRate / 12)</t>
      </text>
    </comment>
    <comment ref="E194" authorId="0" shapeId="0">
      <text>
        <t>Principal = MAX(0, MIN(Opening, Payment - Interest))</t>
      </text>
    </comment>
    <comment ref="F194" authorId="0" shapeId="0">
      <text>
        <t>Closing = MAX(0, Opening - Principal)</t>
      </text>
    </comment>
    <comment ref="C195" authorId="0" shapeId="0">
      <text>
        <t>Loan: Peapack Capital, 25 Trailers (July 2024).
Source: Meiborg_Debt_Schedule_202511.xlsx</t>
      </text>
    </comment>
    <comment ref="D195" authorId="0" shapeId="0">
      <text>
        <t>Interest = MAX(0, Opening * AnnualRate / 12)</t>
      </text>
    </comment>
    <comment ref="E195" authorId="0" shapeId="0">
      <text>
        <t>Principal = MAX(0, MIN(Opening, Payment - Interest))</t>
      </text>
    </comment>
    <comment ref="F195" authorId="0" shapeId="0">
      <text>
        <t>Closing = MAX(0, Opening - Principal)</t>
      </text>
    </comment>
    <comment ref="C196" authorId="0" shapeId="0">
      <text>
        <t>Loan: Peapack Capital, 25 Trailers (July 2024).
Source: Meiborg_Debt_Schedule_202511.xlsx</t>
      </text>
    </comment>
    <comment ref="D196" authorId="0" shapeId="0">
      <text>
        <t>Interest = MAX(0, Opening * AnnualRate / 12)</t>
      </text>
    </comment>
    <comment ref="E196" authorId="0" shapeId="0">
      <text>
        <t>Principal = MAX(0, MIN(Opening, Payment - Interest))</t>
      </text>
    </comment>
    <comment ref="F196" authorId="0" shapeId="0">
      <text>
        <t>Closing = MAX(0, Opening - Principal)</t>
      </text>
    </comment>
    <comment ref="C197" authorId="0" shapeId="0">
      <text>
        <t>Loan: Peapack Capital, 25 Trailers (July 2024).
Source: Meiborg_Debt_Schedule_202511.xlsx</t>
      </text>
    </comment>
    <comment ref="D197" authorId="0" shapeId="0">
      <text>
        <t>Interest = MAX(0, Opening * AnnualRate / 12)</t>
      </text>
    </comment>
    <comment ref="E197" authorId="0" shapeId="0">
      <text>
        <t>Principal = MAX(0, MIN(Opening, Payment - Interest))</t>
      </text>
    </comment>
    <comment ref="F197" authorId="0" shapeId="0">
      <text>
        <t>Closing = MAX(0, Opening - Principal)</t>
      </text>
    </comment>
    <comment ref="C198" authorId="0" shapeId="0">
      <text>
        <t>Loan: Peapack Capital, 25 Trailers (July 2024).
Source: Meiborg_Debt_Schedule_202511.xlsx</t>
      </text>
    </comment>
    <comment ref="D198" authorId="0" shapeId="0">
      <text>
        <t>Interest = MAX(0, Opening * AnnualRate / 12)</t>
      </text>
    </comment>
    <comment ref="E198" authorId="0" shapeId="0">
      <text>
        <t>Principal = MAX(0, MIN(Opening, Payment - Interest))</t>
      </text>
    </comment>
    <comment ref="F198" authorId="0" shapeId="0">
      <text>
        <t>Closing = MAX(0, Opening - Principal)</t>
      </text>
    </comment>
    <comment ref="C199" authorId="0" shapeId="0">
      <text>
        <t>Loan: Peapack Capital, 25 Trailers (July 2024).
Source: Meiborg_Debt_Schedule_202511.xlsx</t>
      </text>
    </comment>
    <comment ref="D199" authorId="0" shapeId="0">
      <text>
        <t>Interest = MAX(0, Opening * AnnualRate / 12)</t>
      </text>
    </comment>
    <comment ref="E199" authorId="0" shapeId="0">
      <text>
        <t>Principal = MAX(0, MIN(Opening, Payment - Interest))</t>
      </text>
    </comment>
    <comment ref="F199" authorId="0" shapeId="0">
      <text>
        <t>Closing = MAX(0, Opening - Principal)</t>
      </text>
    </comment>
    <comment ref="C200" authorId="0" shapeId="0">
      <text>
        <t>Loan: Peapack Capital, 25 Trailers (July 2024).
Source: Meiborg_Debt_Schedule_202511.xlsx</t>
      </text>
    </comment>
    <comment ref="D200" authorId="0" shapeId="0">
      <text>
        <t>Interest = MAX(0, Opening * AnnualRate / 12)</t>
      </text>
    </comment>
    <comment ref="E200" authorId="0" shapeId="0">
      <text>
        <t>Principal = MAX(0, MIN(Opening, Payment - Interest))</t>
      </text>
    </comment>
    <comment ref="F200" authorId="0" shapeId="0">
      <text>
        <t>Closing = MAX(0, Opening - Principal)</t>
      </text>
    </comment>
    <comment ref="C201" authorId="0" shapeId="0">
      <text>
        <t>Loan: Peapack Capital, 25 Trailers (July 2024).
Source: Meiborg_Debt_Schedule_202511.xlsx</t>
      </text>
    </comment>
    <comment ref="D201" authorId="0" shapeId="0">
      <text>
        <t>Interest = MAX(0, Opening * AnnualRate / 12)</t>
      </text>
    </comment>
    <comment ref="E201" authorId="0" shapeId="0">
      <text>
        <t>Principal = MAX(0, MIN(Opening, Payment - Interest))</t>
      </text>
    </comment>
    <comment ref="F201" authorId="0" shapeId="0">
      <text>
        <t>Closing = MAX(0, Opening - Principal)</t>
      </text>
    </comment>
    <comment ref="C202" authorId="0" shapeId="0">
      <text>
        <t>Loan: Peapack Capital, 25 Trailers (July 2024).
Source: Meiborg_Debt_Schedule_202511.xlsx</t>
      </text>
    </comment>
    <comment ref="D202" authorId="0" shapeId="0">
      <text>
        <t>Interest = MAX(0, Opening * AnnualRate / 12)</t>
      </text>
    </comment>
    <comment ref="E202" authorId="0" shapeId="0">
      <text>
        <t>Principal = MAX(0, MIN(Opening, Payment - Interest))</t>
      </text>
    </comment>
    <comment ref="F202" authorId="0" shapeId="0">
      <text>
        <t>Closing = MAX(0, Opening - Principal)</t>
      </text>
    </comment>
    <comment ref="C203" authorId="0" shapeId="0">
      <text>
        <t>Loan: Peapack Capital, 25 Trailers (July 2024).
Source: Meiborg_Debt_Schedule_202511.xlsx</t>
      </text>
    </comment>
    <comment ref="D203" authorId="0" shapeId="0">
      <text>
        <t>Interest = MAX(0, Opening * AnnualRate / 12)</t>
      </text>
    </comment>
    <comment ref="E203" authorId="0" shapeId="0">
      <text>
        <t>Principal = MAX(0, MIN(Opening, Payment - Interest))</t>
      </text>
    </comment>
    <comment ref="F203" authorId="0" shapeId="0">
      <text>
        <t>Closing = MAX(0, Opening - Principal)</t>
      </text>
    </comment>
    <comment ref="C204" authorId="0" shapeId="0">
      <text>
        <t>Loan: Peapack Capital, 25 Trailers (July 2024).
Source: Meiborg_Debt_Schedule_202511.xlsx</t>
      </text>
    </comment>
    <comment ref="D204" authorId="0" shapeId="0">
      <text>
        <t>Interest = MAX(0, Opening * AnnualRate / 12)</t>
      </text>
    </comment>
    <comment ref="E204" authorId="0" shapeId="0">
      <text>
        <t>Principal = MAX(0, MIN(Opening, Payment - Interest))</t>
      </text>
    </comment>
    <comment ref="F204" authorId="0" shapeId="0">
      <text>
        <t>Closing = MAX(0, Opening - Principal)</t>
      </text>
    </comment>
    <comment ref="C205" authorId="0" shapeId="0">
      <text>
        <t>Loan: Peapack Capital, 25 Trailers (July 2024).
Source: Meiborg_Debt_Schedule_202511.xlsx</t>
      </text>
    </comment>
    <comment ref="D205" authorId="0" shapeId="0">
      <text>
        <t>Interest = MAX(0, Opening * AnnualRate / 12)</t>
      </text>
    </comment>
    <comment ref="E205" authorId="0" shapeId="0">
      <text>
        <t>Principal = MAX(0, MIN(Opening, Payment - Interest))</t>
      </text>
    </comment>
    <comment ref="F205" authorId="0" shapeId="0">
      <text>
        <t>Closing = MAX(0, Opening - Principal)</t>
      </text>
    </comment>
    <comment ref="C206" authorId="0" shapeId="0">
      <text>
        <t>Loan: Peapack Capital, 25 Trailers (July 2024).
Source: Meiborg_Debt_Schedule_202511.xlsx</t>
      </text>
    </comment>
    <comment ref="D206" authorId="0" shapeId="0">
      <text>
        <t>Interest = MAX(0, Opening * AnnualRate / 12)</t>
      </text>
    </comment>
    <comment ref="E206" authorId="0" shapeId="0">
      <text>
        <t>Principal = MAX(0, MIN(Opening, Payment - Interest))</t>
      </text>
    </comment>
    <comment ref="F206" authorId="0" shapeId="0">
      <text>
        <t>Closing = MAX(0, Opening - Principal)</t>
      </text>
    </comment>
    <comment ref="C207" authorId="0" shapeId="0">
      <text>
        <t>Loan: Peapack Capital, 25 Trailers (July 2024).
Source: Meiborg_Debt_Schedule_202511.xlsx</t>
      </text>
    </comment>
    <comment ref="D207" authorId="0" shapeId="0">
      <text>
        <t>Interest = MAX(0, Opening * AnnualRate / 12)</t>
      </text>
    </comment>
    <comment ref="E207" authorId="0" shapeId="0">
      <text>
        <t>Principal = MAX(0, MIN(Opening, Payment - Interest))</t>
      </text>
    </comment>
    <comment ref="F207" authorId="0" shapeId="0">
      <text>
        <t>Closing = MAX(0, Opening - Principal)</t>
      </text>
    </comment>
    <comment ref="C208" authorId="0" shapeId="0">
      <text>
        <t>Loan: Peapack Capital, 25 Trailers (July 2024).
Source: Meiborg_Debt_Schedule_202511.xlsx</t>
      </text>
    </comment>
    <comment ref="D208" authorId="0" shapeId="0">
      <text>
        <t>Interest = MAX(0, Opening * AnnualRate / 12)</t>
      </text>
    </comment>
    <comment ref="E208" authorId="0" shapeId="0">
      <text>
        <t>Principal = MAX(0, MIN(Opening, Payment - Interest))</t>
      </text>
    </comment>
    <comment ref="F208" authorId="0" shapeId="0">
      <text>
        <t>Closing = MAX(0, Opening - Principal)</t>
      </text>
    </comment>
    <comment ref="C209" authorId="0" shapeId="0">
      <text>
        <t>Loan: Peapack Capital, 25 Trailers (July 2024).
Source: Meiborg_Debt_Schedule_202511.xlsx</t>
      </text>
    </comment>
    <comment ref="D209" authorId="0" shapeId="0">
      <text>
        <t>Interest = MAX(0, Opening * AnnualRate / 12)</t>
      </text>
    </comment>
    <comment ref="E209" authorId="0" shapeId="0">
      <text>
        <t>Principal = MAX(0, MIN(Opening, Payment - Interest))</t>
      </text>
    </comment>
    <comment ref="F209" authorId="0" shapeId="0">
      <text>
        <t>Closing = MAX(0, Opening - Principal)</t>
      </text>
    </comment>
    <comment ref="C210" authorId="0" shapeId="0">
      <text>
        <t>Loan: Peapack Capital, 25 Trailers (July 2024).
Source: Meiborg_Debt_Schedule_202511.xlsx</t>
      </text>
    </comment>
    <comment ref="D210" authorId="0" shapeId="0">
      <text>
        <t>Interest = MAX(0, Opening * AnnualRate / 12)</t>
      </text>
    </comment>
    <comment ref="E210" authorId="0" shapeId="0">
      <text>
        <t>Principal = MAX(0, MIN(Opening, Payment - Interest))</t>
      </text>
    </comment>
    <comment ref="F210" authorId="0" shapeId="0">
      <text>
        <t>Closing = MAX(0, Opening - Principal)</t>
      </text>
    </comment>
    <comment ref="C211" authorId="0" shapeId="0">
      <text>
        <t>Loan: Peapack Capital, 25 Trailers (July 2024).
Source: Meiborg_Debt_Schedule_202511.xlsx</t>
      </text>
    </comment>
    <comment ref="D211" authorId="0" shapeId="0">
      <text>
        <t>Interest = MAX(0, Opening * AnnualRate / 12)</t>
      </text>
    </comment>
    <comment ref="E211" authorId="0" shapeId="0">
      <text>
        <t>Principal = MAX(0, MIN(Opening, Payment - Interest))</t>
      </text>
    </comment>
    <comment ref="F211" authorId="0" shapeId="0">
      <text>
        <t>Closing = MAX(0, Opening - Principal)</t>
      </text>
    </comment>
    <comment ref="C212" authorId="0" shapeId="0">
      <text>
        <t>Loan: Peapack Capital, 25 Trailers (July 2024).
Source: Meiborg_Debt_Schedule_202511.xlsx</t>
      </text>
    </comment>
    <comment ref="D212" authorId="0" shapeId="0">
      <text>
        <t>Interest = MAX(0, Opening * AnnualRate / 12)</t>
      </text>
    </comment>
    <comment ref="E212" authorId="0" shapeId="0">
      <text>
        <t>Principal = MAX(0, MIN(Opening, Payment - Interest))</t>
      </text>
    </comment>
    <comment ref="F212" authorId="0" shapeId="0">
      <text>
        <t>Closing = MAX(0, Opening - Principal)</t>
      </text>
    </comment>
    <comment ref="C213" authorId="0" shapeId="0">
      <text>
        <t>Loan: Peapack Capital, 25 Trailers (July 2024).
Source: Meiborg_Debt_Schedule_202511.xlsx</t>
      </text>
    </comment>
    <comment ref="D213" authorId="0" shapeId="0">
      <text>
        <t>Interest = MAX(0, Opening * AnnualRate / 12)</t>
      </text>
    </comment>
    <comment ref="E213" authorId="0" shapeId="0">
      <text>
        <t>Principal = MAX(0, MIN(Opening, Payment - Interest))</t>
      </text>
    </comment>
    <comment ref="F213" authorId="0" shapeId="0">
      <text>
        <t>Closing = MAX(0, Opening - Principal)</t>
      </text>
    </comment>
    <comment ref="C214" authorId="0" shapeId="0">
      <text>
        <t>Loan: Peapack Capital, 25 Trailers (July 2024).
Source: Meiborg_Debt_Schedule_202511.xlsx</t>
      </text>
    </comment>
    <comment ref="D214" authorId="0" shapeId="0">
      <text>
        <t>Interest = MAX(0, Opening * AnnualRate / 12)</t>
      </text>
    </comment>
    <comment ref="E214" authorId="0" shapeId="0">
      <text>
        <t>Principal = MAX(0, MIN(Opening, Payment - Interest))</t>
      </text>
    </comment>
    <comment ref="F214" authorId="0" shapeId="0">
      <text>
        <t>Closing = MAX(0, Opening - Principal)</t>
      </text>
    </comment>
    <comment ref="C215" authorId="0" shapeId="0">
      <text>
        <t>Loan: Peapack Capital, 25 Trailers (July 2024).
Source: Meiborg_Debt_Schedule_202511.xlsx</t>
      </text>
    </comment>
    <comment ref="D215" authorId="0" shapeId="0">
      <text>
        <t>Interest = MAX(0, Opening * AnnualRate / 12)</t>
      </text>
    </comment>
    <comment ref="E215" authorId="0" shapeId="0">
      <text>
        <t>Principal = MAX(0, MIN(Opening, Payment - Interest))</t>
      </text>
    </comment>
    <comment ref="F215" authorId="0" shapeId="0">
      <text>
        <t>Closing = MAX(0, Opening - Principal)</t>
      </text>
    </comment>
    <comment ref="C216" authorId="0" shapeId="0">
      <text>
        <t>Loan: Peapack Capital, 25 Trailers (July 2024).
Source: Meiborg_Debt_Schedule_202511.xlsx</t>
      </text>
    </comment>
    <comment ref="D216" authorId="0" shapeId="0">
      <text>
        <t>Interest = MAX(0, Opening * AnnualRate / 12)</t>
      </text>
    </comment>
    <comment ref="E216" authorId="0" shapeId="0">
      <text>
        <t>Principal = MAX(0, MIN(Opening, Payment - Interest))</t>
      </text>
    </comment>
    <comment ref="F216" authorId="0" shapeId="0">
      <text>
        <t>Closing = MAX(0, Opening - Principal)</t>
      </text>
    </comment>
    <comment ref="C217" authorId="0" shapeId="0">
      <text>
        <t>Loan: Peapack Capital, 25 Trailers (July 2024).
Source: Meiborg_Debt_Schedule_202511.xlsx</t>
      </text>
    </comment>
    <comment ref="D217" authorId="0" shapeId="0">
      <text>
        <t>Interest = MAX(0, Opening * AnnualRate / 12)</t>
      </text>
    </comment>
    <comment ref="E217" authorId="0" shapeId="0">
      <text>
        <t>Principal = MAX(0, MIN(Opening, Payment - Interest))</t>
      </text>
    </comment>
    <comment ref="F217" authorId="0" shapeId="0">
      <text>
        <t>Closing = MAX(0, Opening - Principal)</t>
      </text>
    </comment>
    <comment ref="C218" authorId="0" shapeId="0">
      <text>
        <t>Loan: Peapack Capital, 25 Trailers (July 2024).
Source: Meiborg_Debt_Schedule_202511.xlsx</t>
      </text>
    </comment>
    <comment ref="D218" authorId="0" shapeId="0">
      <text>
        <t>Interest = MAX(0, Opening * AnnualRate / 12)</t>
      </text>
    </comment>
    <comment ref="E218" authorId="0" shapeId="0">
      <text>
        <t>Principal = MAX(0, MIN(Opening, Payment - Interest))</t>
      </text>
    </comment>
    <comment ref="F218" authorId="0" shapeId="0">
      <text>
        <t>Closing = MAX(0, Opening - Principal)</t>
      </text>
    </comment>
    <comment ref="C219" authorId="0" shapeId="0">
      <text>
        <t>Loan: Peapack Capital, 25 Trailers (July 2024).
Source: Meiborg_Debt_Schedule_202511.xlsx</t>
      </text>
    </comment>
    <comment ref="D219" authorId="0" shapeId="0">
      <text>
        <t>Interest = MAX(0, Opening * AnnualRate / 12)</t>
      </text>
    </comment>
    <comment ref="E219" authorId="0" shapeId="0">
      <text>
        <t>Principal = MAX(0, MIN(Opening, Payment - Interest))</t>
      </text>
    </comment>
    <comment ref="F219" authorId="0" shapeId="0">
      <text>
        <t>Closing = MAX(0, Opening - Principal)</t>
      </text>
    </comment>
    <comment ref="C220" authorId="0" shapeId="0">
      <text>
        <t>Loan: Peapack Capital, 25 Trailers (July 2024).
Source: Meiborg_Debt_Schedule_202511.xlsx</t>
      </text>
    </comment>
    <comment ref="D220" authorId="0" shapeId="0">
      <text>
        <t>Interest = MAX(0, Opening * AnnualRate / 12)</t>
      </text>
    </comment>
    <comment ref="E220" authorId="0" shapeId="0">
      <text>
        <t>Principal = MAX(0, MIN(Opening, Payment - Interest))</t>
      </text>
    </comment>
    <comment ref="F220" authorId="0" shapeId="0">
      <text>
        <t>Closing = MAX(0, Opening - Principal)</t>
      </text>
    </comment>
    <comment ref="C221" authorId="0" shapeId="0">
      <text>
        <t>Loan: Peapack Capital, 25 Trailers (July 2024).
Source: Meiborg_Debt_Schedule_202511.xlsx</t>
      </text>
    </comment>
    <comment ref="D221" authorId="0" shapeId="0">
      <text>
        <t>Interest = MAX(0, Opening * AnnualRate / 12)</t>
      </text>
    </comment>
    <comment ref="E221" authorId="0" shapeId="0">
      <text>
        <t>Principal = MAX(0, MIN(Opening, Payment - Interest))</t>
      </text>
    </comment>
    <comment ref="F221" authorId="0" shapeId="0">
      <text>
        <t>Closing = MAX(0, Opening - Principal)</t>
      </text>
    </comment>
    <comment ref="C222" authorId="0" shapeId="0">
      <text>
        <t>Loan: Peapack Capital, 25 Trailers (July 2024).
Source: Meiborg_Debt_Schedule_202511.xlsx</t>
      </text>
    </comment>
    <comment ref="D222" authorId="0" shapeId="0">
      <text>
        <t>Interest = MAX(0, Opening * AnnualRate / 12)</t>
      </text>
    </comment>
    <comment ref="E222" authorId="0" shapeId="0">
      <text>
        <t>Principal = MAX(0, MIN(Opening, Payment - Interest))</t>
      </text>
    </comment>
    <comment ref="F222" authorId="0" shapeId="0">
      <text>
        <t>Closing = MAX(0, Opening - Principal)</t>
      </text>
    </comment>
    <comment ref="C223" authorId="0" shapeId="0">
      <text>
        <t>Loan: Peapack Capital, 25 Trailers (July 2024).
Source: Meiborg_Debt_Schedule_202511.xlsx</t>
      </text>
    </comment>
    <comment ref="D223" authorId="0" shapeId="0">
      <text>
        <t>Interest = MAX(0, Opening * AnnualRate / 12)</t>
      </text>
    </comment>
    <comment ref="E223" authorId="0" shapeId="0">
      <text>
        <t>Principal = MAX(0, MIN(Opening, Payment - Interest))</t>
      </text>
    </comment>
    <comment ref="F223" authorId="0" shapeId="0">
      <text>
        <t>Closing = MAX(0, Opening - Principal)</t>
      </text>
    </comment>
    <comment ref="C224" authorId="0" shapeId="0">
      <text>
        <t>Loan: Peapack Capital, 25 Trailers (July 2024).
Source: Meiborg_Debt_Schedule_202511.xlsx</t>
      </text>
    </comment>
    <comment ref="D224" authorId="0" shapeId="0">
      <text>
        <t>Interest = MAX(0, Opening * AnnualRate / 12)</t>
      </text>
    </comment>
    <comment ref="E224" authorId="0" shapeId="0">
      <text>
        <t>Principal = MAX(0, MIN(Opening, Payment - Interest))</t>
      </text>
    </comment>
    <comment ref="F224" authorId="0" shapeId="0">
      <text>
        <t>Closing = MAX(0, Opening - Principal)</t>
      </text>
    </comment>
    <comment ref="C225" authorId="0" shapeId="0">
      <text>
        <t>Loan: Peapack Capital, 25 Trailers (July 2024).
Source: Meiborg_Debt_Schedule_202511.xlsx</t>
      </text>
    </comment>
    <comment ref="D225" authorId="0" shapeId="0">
      <text>
        <t>Interest = MAX(0, Opening * AnnualRate / 12)</t>
      </text>
    </comment>
    <comment ref="E225" authorId="0" shapeId="0">
      <text>
        <t>Principal = MAX(0, MIN(Opening, Payment - Interest))</t>
      </text>
    </comment>
    <comment ref="F225" authorId="0" shapeId="0">
      <text>
        <t>Closing = MAX(0, Opening - Principal)</t>
      </text>
    </comment>
    <comment ref="C226" authorId="0" shapeId="0">
      <text>
        <t>Loan: Peapack Capital, 25 Trailers (July 2024).
Source: Meiborg_Debt_Schedule_202511.xlsx</t>
      </text>
    </comment>
    <comment ref="D226" authorId="0" shapeId="0">
      <text>
        <t>Interest = MAX(0, Opening * AnnualRate / 12)</t>
      </text>
    </comment>
    <comment ref="E226" authorId="0" shapeId="0">
      <text>
        <t>Principal = MAX(0, MIN(Opening, Payment - Interest))</t>
      </text>
    </comment>
    <comment ref="F226" authorId="0" shapeId="0">
      <text>
        <t>Closing = MAX(0, Opening - Principal)</t>
      </text>
    </comment>
    <comment ref="C227" authorId="0" shapeId="0">
      <text>
        <t>Loan: Peapack Capital, 25 Trailers (July 2024).
Source: Meiborg_Debt_Schedule_202511.xlsx</t>
      </text>
    </comment>
    <comment ref="D227" authorId="0" shapeId="0">
      <text>
        <t>Interest = MAX(0, Opening * AnnualRate / 12)</t>
      </text>
    </comment>
    <comment ref="E227" authorId="0" shapeId="0">
      <text>
        <t>Principal = MAX(0, MIN(Opening, Payment - Interest))</t>
      </text>
    </comment>
    <comment ref="F227" authorId="0" shapeId="0">
      <text>
        <t>Closing = MAX(0, Opening - Principal)</t>
      </text>
    </comment>
    <comment ref="C228" authorId="0" shapeId="0">
      <text>
        <t>Loan: Peapack Capital, 25 Trailers (July 2024).
Source: Meiborg_Debt_Schedule_202511.xlsx</t>
      </text>
    </comment>
    <comment ref="D228" authorId="0" shapeId="0">
      <text>
        <t>Interest = MAX(0, Opening * AnnualRate / 12)</t>
      </text>
    </comment>
    <comment ref="E228" authorId="0" shapeId="0">
      <text>
        <t>Principal = MAX(0, MIN(Opening, Payment - Interest))</t>
      </text>
    </comment>
    <comment ref="F228" authorId="0" shapeId="0">
      <text>
        <t>Closing = MAX(0, Opening - Principal)</t>
      </text>
    </comment>
    <comment ref="C229" authorId="0" shapeId="0">
      <text>
        <t>Loan: Peapack Capital, 25 Trailers (July 2024).
Source: Meiborg_Debt_Schedule_202511.xlsx</t>
      </text>
    </comment>
    <comment ref="D229" authorId="0" shapeId="0">
      <text>
        <t>Interest = MAX(0, Opening * AnnualRate / 12)</t>
      </text>
    </comment>
    <comment ref="E229" authorId="0" shapeId="0">
      <text>
        <t>Principal = MAX(0, MIN(Opening, Payment - Interest))</t>
      </text>
    </comment>
    <comment ref="F229" authorId="0" shapeId="0">
      <text>
        <t>Closing = MAX(0, Opening - Principal)</t>
      </text>
    </comment>
    <comment ref="C230" authorId="0" shapeId="0">
      <text>
        <t>Loan: Peapack Capital, 25 Trailers (July 2024).
Source: Meiborg_Debt_Schedule_202511.xlsx</t>
      </text>
    </comment>
    <comment ref="D230" authorId="0" shapeId="0">
      <text>
        <t>Interest = MAX(0, Opening * AnnualRate / 12)</t>
      </text>
    </comment>
    <comment ref="E230" authorId="0" shapeId="0">
      <text>
        <t>Principal = MAX(0, MIN(Opening, Payment - Interest))</t>
      </text>
    </comment>
    <comment ref="F230" authorId="0" shapeId="0">
      <text>
        <t>Closing = MAX(0, Opening - Principal)</t>
      </text>
    </comment>
    <comment ref="C231" authorId="0" shapeId="0">
      <text>
        <t>Loan: Peapack Capital, 25 Trailers (July 2024).
Source: Meiborg_Debt_Schedule_202511.xlsx</t>
      </text>
    </comment>
    <comment ref="D231" authorId="0" shapeId="0">
      <text>
        <t>Interest = MAX(0, Opening * AnnualRate / 12)</t>
      </text>
    </comment>
    <comment ref="E231" authorId="0" shapeId="0">
      <text>
        <t>Principal = MAX(0, MIN(Opening, Payment - Interest))</t>
      </text>
    </comment>
    <comment ref="F231" authorId="0" shapeId="0">
      <text>
        <t>Closing = MAX(0, Opening - Principal)</t>
      </text>
    </comment>
    <comment ref="C232" authorId="0" shapeId="0">
      <text>
        <t>Loan: Peapack Capital, 25 Trailers (July 2024).
Source: Meiborg_Debt_Schedule_202511.xlsx</t>
      </text>
    </comment>
    <comment ref="D232" authorId="0" shapeId="0">
      <text>
        <t>Interest = MAX(0, Opening * AnnualRate / 12)</t>
      </text>
    </comment>
    <comment ref="E232" authorId="0" shapeId="0">
      <text>
        <t>Principal = MAX(0, MIN(Opening, Payment - Interest))</t>
      </text>
    </comment>
    <comment ref="F232" authorId="0" shapeId="0">
      <text>
        <t>Closing = MAX(0, Opening - Principal)</t>
      </text>
    </comment>
    <comment ref="C233" authorId="0" shapeId="0">
      <text>
        <t>Loan: Peapack Capital, 25 Trailers (July 2024).
Source: Meiborg_Debt_Schedule_202511.xlsx</t>
      </text>
    </comment>
    <comment ref="D233" authorId="0" shapeId="0">
      <text>
        <t>Interest = MAX(0, Opening * AnnualRate / 12)</t>
      </text>
    </comment>
    <comment ref="E233" authorId="0" shapeId="0">
      <text>
        <t>Principal = MAX(0, MIN(Opening, Payment - Interest))</t>
      </text>
    </comment>
    <comment ref="F233" authorId="0" shapeId="0">
      <text>
        <t>Closing = MAX(0, Opening - Principal)</t>
      </text>
    </comment>
    <comment ref="C234" authorId="0" shapeId="0">
      <text>
        <t>Loan: Peapack Capital, 25 Trailers (July 2024).
Source: Meiborg_Debt_Schedule_202511.xlsx</t>
      </text>
    </comment>
    <comment ref="D234" authorId="0" shapeId="0">
      <text>
        <t>Interest = MAX(0, Opening * AnnualRate / 12)</t>
      </text>
    </comment>
    <comment ref="E234" authorId="0" shapeId="0">
      <text>
        <t>Principal = MAX(0, MIN(Opening, Payment - Interest))</t>
      </text>
    </comment>
    <comment ref="F234" authorId="0" shapeId="0">
      <text>
        <t>Closing = MAX(0, Opening - Principal)</t>
      </text>
    </comment>
    <comment ref="C235" authorId="0" shapeId="0">
      <text>
        <t>Loan: Peapack Capital, 25 Trailers (July 2024).
Source: Meiborg_Debt_Schedule_202511.xlsx</t>
      </text>
    </comment>
    <comment ref="D235" authorId="0" shapeId="0">
      <text>
        <t>Interest = MAX(0, Opening * AnnualRate / 12)</t>
      </text>
    </comment>
    <comment ref="E235" authorId="0" shapeId="0">
      <text>
        <t>Principal = MAX(0, MIN(Opening, Payment - Interest))</t>
      </text>
    </comment>
    <comment ref="F235" authorId="0" shapeId="0">
      <text>
        <t>Closing = MAX(0, Opening - Principal)</t>
      </text>
    </comment>
    <comment ref="C236" authorId="0" shapeId="0">
      <text>
        <t>Loan: Peapack Capital, 25 Trailers (July 2024).
Source: Meiborg_Debt_Schedule_202511.xlsx</t>
      </text>
    </comment>
    <comment ref="D236" authorId="0" shapeId="0">
      <text>
        <t>Interest = MAX(0, Opening * AnnualRate / 12)</t>
      </text>
    </comment>
    <comment ref="E236" authorId="0" shapeId="0">
      <text>
        <t>Principal = MAX(0, MIN(Opening, Payment - Interest))</t>
      </text>
    </comment>
    <comment ref="F236" authorId="0" shapeId="0">
      <text>
        <t>Closing = MAX(0, Opening - Principal)</t>
      </text>
    </comment>
    <comment ref="C237" authorId="0" shapeId="0">
      <text>
        <t>Loan: Peapack Capital, 25 Trailers (July 2024).
Source: Meiborg_Debt_Schedule_202511.xlsx</t>
      </text>
    </comment>
    <comment ref="D237" authorId="0" shapeId="0">
      <text>
        <t>Interest = MAX(0, Opening * AnnualRate / 12)</t>
      </text>
    </comment>
    <comment ref="E237" authorId="0" shapeId="0">
      <text>
        <t>Principal = MAX(0, MIN(Opening, Payment - Interest))</t>
      </text>
    </comment>
    <comment ref="F237" authorId="0" shapeId="0">
      <text>
        <t>Closing = MAX(0, Opening - Principal)</t>
      </text>
    </comment>
    <comment ref="C238" authorId="0" shapeId="0">
      <text>
        <t>Loan: Peapack Capital, 25 Trailers (July 2024).
Source: Meiborg_Debt_Schedule_202511.xlsx</t>
      </text>
    </comment>
    <comment ref="D238" authorId="0" shapeId="0">
      <text>
        <t>Interest = MAX(0, Opening * AnnualRate / 12)</t>
      </text>
    </comment>
    <comment ref="E238" authorId="0" shapeId="0">
      <text>
        <t>Principal = MAX(0, MIN(Opening, Payment - Interest))</t>
      </text>
    </comment>
    <comment ref="F238" authorId="0" shapeId="0">
      <text>
        <t>Closing = MAX(0, Opening - Principal)</t>
      </text>
    </comment>
    <comment ref="C239" authorId="0" shapeId="0">
      <text>
        <t>Loan: Peapack Capital, 25 Trailers (July 2024).
Source: Meiborg_Debt_Schedule_202511.xlsx</t>
      </text>
    </comment>
    <comment ref="D239" authorId="0" shapeId="0">
      <text>
        <t>Interest = MAX(0, Opening * AnnualRate / 12)</t>
      </text>
    </comment>
    <comment ref="E239" authorId="0" shapeId="0">
      <text>
        <t>Principal = MAX(0, MIN(Opening, Payment - Interest))</t>
      </text>
    </comment>
    <comment ref="F239" authorId="0" shapeId="0">
      <text>
        <t>Closing = MAX(0, Opening - Principal)</t>
      </text>
    </comment>
    <comment ref="C240" authorId="0" shapeId="0">
      <text>
        <t>Loan: Peapack Capital, 25 Trailers (July 2024).
Source: Meiborg_Debt_Schedule_202511.xlsx</t>
      </text>
    </comment>
    <comment ref="D240" authorId="0" shapeId="0">
      <text>
        <t>Interest = MAX(0, Opening * AnnualRate / 12)</t>
      </text>
    </comment>
    <comment ref="E240" authorId="0" shapeId="0">
      <text>
        <t>Principal = MAX(0, MIN(Opening, Payment - Interest))</t>
      </text>
    </comment>
    <comment ref="F240" authorId="0" shapeId="0">
      <text>
        <t>Closing = MAX(0, Opening - Principal)</t>
      </text>
    </comment>
    <comment ref="C241" authorId="0" shapeId="0">
      <text>
        <t>Loan: Peapack Capital, 25 Trailers (July 2024).
Source: Meiborg_Debt_Schedule_202511.xlsx</t>
      </text>
    </comment>
    <comment ref="D241" authorId="0" shapeId="0">
      <text>
        <t>Interest = MAX(0, Opening * AnnualRate / 12)</t>
      </text>
    </comment>
    <comment ref="E241" authorId="0" shapeId="0">
      <text>
        <t>Principal = MAX(0, MIN(Opening, Payment - Interest))</t>
      </text>
    </comment>
    <comment ref="F241" authorId="0" shapeId="0">
      <text>
        <t>Closing = MAX(0, Opening - Principal)</t>
      </text>
    </comment>
    <comment ref="C242" authorId="0" shapeId="0">
      <text>
        <t>Loan: Peapack Capital, 25 Trailers (July 2024).
Source: Meiborg_Debt_Schedule_202511.xlsx</t>
      </text>
    </comment>
    <comment ref="D242" authorId="0" shapeId="0">
      <text>
        <t>Interest = MAX(0, Opening * AnnualRate / 12)</t>
      </text>
    </comment>
    <comment ref="E242" authorId="0" shapeId="0">
      <text>
        <t>Principal = MAX(0, MIN(Opening, Payment - Interest))</t>
      </text>
    </comment>
    <comment ref="F242" authorId="0" shapeId="0">
      <text>
        <t>Closing = MAX(0, Opening - Principal)</t>
      </text>
    </comment>
    <comment ref="C243" authorId="0" shapeId="0">
      <text>
        <t>Loan: Peapack Capital, 25 Trailers (July 2024).
Source: Meiborg_Debt_Schedule_202511.xlsx</t>
      </text>
    </comment>
    <comment ref="D243" authorId="0" shapeId="0">
      <text>
        <t>Interest = MAX(0, Opening * AnnualRate / 12)</t>
      </text>
    </comment>
    <comment ref="E243" authorId="0" shapeId="0">
      <text>
        <t>Principal = MAX(0, MIN(Opening, Payment - Interest))</t>
      </text>
    </comment>
    <comment ref="F243" authorId="0" shapeId="0">
      <text>
        <t>Closing = MAX(0, Opening - Principal)</t>
      </text>
    </comment>
    <comment ref="C244" authorId="0" shapeId="0">
      <text>
        <t>Loan: Peapack Capital, 25 Trailers (July 2024).
Source: Meiborg_Debt_Schedule_202511.xlsx</t>
      </text>
    </comment>
    <comment ref="D244" authorId="0" shapeId="0">
      <text>
        <t>Interest = MAX(0, Opening * AnnualRate / 12)</t>
      </text>
    </comment>
    <comment ref="E244" authorId="0" shapeId="0">
      <text>
        <t>Principal = MAX(0, MIN(Opening, Payment - Interest))</t>
      </text>
    </comment>
    <comment ref="F244" authorId="0" shapeId="0">
      <text>
        <t>Closing = MAX(0, Opening - Principal)</t>
      </text>
    </comment>
    <comment ref="C245" authorId="0" shapeId="0">
      <text>
        <t>Loan: Peapack Capital, 25 Trailers (July 2024).
Source: Meiborg_Debt_Schedule_202511.xlsx</t>
      </text>
    </comment>
    <comment ref="D245" authorId="0" shapeId="0">
      <text>
        <t>Interest = MAX(0, Opening * AnnualRate / 12)</t>
      </text>
    </comment>
    <comment ref="E245" authorId="0" shapeId="0">
      <text>
        <t>Principal = MAX(0, MIN(Opening, Payment - Interest))</t>
      </text>
    </comment>
    <comment ref="F245" authorId="0" shapeId="0">
      <text>
        <t>Closing = MAX(0, Opening - Principal)</t>
      </text>
    </comment>
    <comment ref="C246" authorId="0" shapeId="0">
      <text>
        <t>Loan: Peapack Capital, 25 Trailers (July 2024).
Source: Meiborg_Debt_Schedule_202511.xlsx</t>
      </text>
    </comment>
    <comment ref="D246" authorId="0" shapeId="0">
      <text>
        <t>Interest = MAX(0, Opening * AnnualRate / 12)</t>
      </text>
    </comment>
    <comment ref="E246" authorId="0" shapeId="0">
      <text>
        <t>Principal = MAX(0, MIN(Opening, Payment - Interest))</t>
      </text>
    </comment>
    <comment ref="F246" authorId="0" shapeId="0">
      <text>
        <t>Closing = MAX(0, Opening - Principal)</t>
      </text>
    </comment>
    <comment ref="C247" authorId="0" shapeId="0">
      <text>
        <t>Loan: Peapack Capital, 25 Trailers (July 2024).
Source: Meiborg_Debt_Schedule_202511.xlsx</t>
      </text>
    </comment>
    <comment ref="D247" authorId="0" shapeId="0">
      <text>
        <t>Interest = MAX(0, Opening * AnnualRate / 12)</t>
      </text>
    </comment>
    <comment ref="E247" authorId="0" shapeId="0">
      <text>
        <t>Principal = MAX(0, MIN(Opening, Payment - Interest))</t>
      </text>
    </comment>
    <comment ref="F247" authorId="0" shapeId="0">
      <text>
        <t>Closing = MAX(0, Opening - Principal)</t>
      </text>
    </comment>
    <comment ref="C248" authorId="0" shapeId="0">
      <text>
        <t>Loan: Peapack Capital, 25 Trailers (July 2024).
Source: Meiborg_Debt_Schedule_202511.xlsx</t>
      </text>
    </comment>
    <comment ref="D248" authorId="0" shapeId="0">
      <text>
        <t>Interest = MAX(0, Opening * AnnualRate / 12)</t>
      </text>
    </comment>
    <comment ref="E248" authorId="0" shapeId="0">
      <text>
        <t>Principal = MAX(0, MIN(Opening, Payment - Interest))</t>
      </text>
    </comment>
    <comment ref="F248" authorId="0" shapeId="0">
      <text>
        <t>Closing = MAX(0, Opening - Principal)</t>
      </text>
    </comment>
    <comment ref="C249" authorId="0" shapeId="0">
      <text>
        <t>Loan: Peapack Capital, 25 Trailers (July 2024).
Source: Meiborg_Debt_Schedule_202511.xlsx</t>
      </text>
    </comment>
    <comment ref="D249" authorId="0" shapeId="0">
      <text>
        <t>Interest = MAX(0, Opening * AnnualRate / 12)</t>
      </text>
    </comment>
    <comment ref="E249" authorId="0" shapeId="0">
      <text>
        <t>Principal = MAX(0, MIN(Opening, Payment - Interest))</t>
      </text>
    </comment>
    <comment ref="F249" authorId="0" shapeId="0">
      <text>
        <t>Closing = MAX(0, Opening - Principal)</t>
      </text>
    </comment>
    <comment ref="C250" authorId="0" shapeId="0">
      <text>
        <t>Loan: Peapack Capital, 25 Trailers (July 2024).
Source: Meiborg_Debt_Schedule_202511.xlsx</t>
      </text>
    </comment>
    <comment ref="D250" authorId="0" shapeId="0">
      <text>
        <t>Interest = MAX(0, Opening * AnnualRate / 12)</t>
      </text>
    </comment>
    <comment ref="E250" authorId="0" shapeId="0">
      <text>
        <t>Principal = MAX(0, MIN(Opening, Payment - Interest))</t>
      </text>
    </comment>
    <comment ref="F250" authorId="0" shapeId="0">
      <text>
        <t>Closing = MAX(0, Opening - Principal)</t>
      </text>
    </comment>
    <comment ref="C251" authorId="0" shapeId="0">
      <text>
        <t>Loan: Peapack Capital, 25 Trailers (July 2024).
Source: Meiborg_Debt_Schedule_202511.xlsx</t>
      </text>
    </comment>
    <comment ref="D251" authorId="0" shapeId="0">
      <text>
        <t>Interest = MAX(0, Opening * AnnualRate / 12)</t>
      </text>
    </comment>
    <comment ref="E251" authorId="0" shapeId="0">
      <text>
        <t>Principal = MAX(0, MIN(Opening, Payment - Interest))</t>
      </text>
    </comment>
    <comment ref="F251" authorId="0" shapeId="0">
      <text>
        <t>Closing = MAX(0, Opening - Principal)</t>
      </text>
    </comment>
    <comment ref="C252" authorId="0" shapeId="0">
      <text>
        <t>Loan: Peapack Capital, 25 Trailers (July 2024).
Source: Meiborg_Debt_Schedule_202511.xlsx</t>
      </text>
    </comment>
    <comment ref="D252" authorId="0" shapeId="0">
      <text>
        <t>Interest = MAX(0, Opening * AnnualRate / 12)</t>
      </text>
    </comment>
    <comment ref="E252" authorId="0" shapeId="0">
      <text>
        <t>Principal = MAX(0, MIN(Opening, Payment - Interest))</t>
      </text>
    </comment>
    <comment ref="F252" authorId="0" shapeId="0">
      <text>
        <t>Closing = MAX(0, Opening - Principal)</t>
      </text>
    </comment>
    <comment ref="C253" authorId="0" shapeId="0">
      <text>
        <t>Loan: Peapack Capital, 25 Trailers (July 2024).
Source: Meiborg_Debt_Schedule_202511.xlsx</t>
      </text>
    </comment>
    <comment ref="D253" authorId="0" shapeId="0">
      <text>
        <t>Interest = MAX(0, Opening * AnnualRate / 12)</t>
      </text>
    </comment>
    <comment ref="E253" authorId="0" shapeId="0">
      <text>
        <t>Principal = MAX(0, MIN(Opening, Payment - Interest))</t>
      </text>
    </comment>
    <comment ref="F253" authorId="0" shapeId="0">
      <text>
        <t>Closing = MAX(0, Opening - Principal)</t>
      </text>
    </comment>
    <comment ref="C254" authorId="0" shapeId="0">
      <text>
        <t>Loan: Peapack Capital, 25 Trailers (July 2024).
Source: Meiborg_Debt_Schedule_202511.xlsx</t>
      </text>
    </comment>
    <comment ref="D254" authorId="0" shapeId="0">
      <text>
        <t>Interest = MAX(0, Opening * AnnualRate / 12)</t>
      </text>
    </comment>
    <comment ref="E254" authorId="0" shapeId="0">
      <text>
        <t>Principal = MAX(0, MIN(Opening, Payment - Interest))</t>
      </text>
    </comment>
    <comment ref="F254" authorId="0" shapeId="0">
      <text>
        <t>Closing = MAX(0, Opening - Principal)</t>
      </text>
    </comment>
    <comment ref="C255" authorId="0" shapeId="0">
      <text>
        <t>Loan: Peapack Capital, 25 Trailers (July 2024).
Source: Meiborg_Debt_Schedule_202511.xlsx</t>
      </text>
    </comment>
    <comment ref="D255" authorId="0" shapeId="0">
      <text>
        <t>Interest = MAX(0, Opening * AnnualRate / 12)</t>
      </text>
    </comment>
    <comment ref="E255" authorId="0" shapeId="0">
      <text>
        <t>Principal = MAX(0, MIN(Opening, Payment - Interest))</t>
      </text>
    </comment>
    <comment ref="F255" authorId="0" shapeId="0">
      <text>
        <t>Closing = MAX(0, Opening - Principal)</t>
      </text>
    </comment>
    <comment ref="C256" authorId="0" shapeId="0">
      <text>
        <t>Loan: Peapack Capital, 25 Trailers (July 2024).
Source: Meiborg_Debt_Schedule_202511.xlsx</t>
      </text>
    </comment>
    <comment ref="D256" authorId="0" shapeId="0">
      <text>
        <t>Interest = MAX(0, Opening * AnnualRate / 12)</t>
      </text>
    </comment>
    <comment ref="E256" authorId="0" shapeId="0">
      <text>
        <t>Principal = MAX(0, MIN(Opening, Payment - Interest))</t>
      </text>
    </comment>
    <comment ref="F256" authorId="0" shapeId="0">
      <text>
        <t>Closing = MAX(0, Opening - Principal)</t>
      </text>
    </comment>
    <comment ref="C257" authorId="0" shapeId="0">
      <text>
        <t>Loan: Peapack Capital, 25 Trailers (July 2024).
Source: Meiborg_Debt_Schedule_202511.xlsx</t>
      </text>
    </comment>
    <comment ref="D257" authorId="0" shapeId="0">
      <text>
        <t>Interest = MAX(0, Opening * AnnualRate / 12)</t>
      </text>
    </comment>
    <comment ref="E257" authorId="0" shapeId="0">
      <text>
        <t>Principal = MAX(0, MIN(Opening, Payment - Interest))</t>
      </text>
    </comment>
    <comment ref="F257" authorId="0" shapeId="0">
      <text>
        <t>Closing = MAX(0, Opening - Principal)</t>
      </text>
    </comment>
    <comment ref="C258" authorId="0" shapeId="0">
      <text>
        <t>Loan: Peapack Capital, 25 Trailers (July 2024).
Source: Meiborg_Debt_Schedule_202511.xlsx</t>
      </text>
    </comment>
    <comment ref="D258" authorId="0" shapeId="0">
      <text>
        <t>Interest = MAX(0, Opening * AnnualRate / 12)</t>
      </text>
    </comment>
    <comment ref="E258" authorId="0" shapeId="0">
      <text>
        <t>Principal = MAX(0, MIN(Opening, Payment - Interest))</t>
      </text>
    </comment>
    <comment ref="F258" authorId="0" shapeId="0">
      <text>
        <t>Closing = MAX(0, Opening - Principal)</t>
      </text>
    </comment>
    <comment ref="C259" authorId="0" shapeId="0">
      <text>
        <t>Loan: Peapack Capital, 25 Trailers (July 2024).
Source: Meiborg_Debt_Schedule_202511.xlsx</t>
      </text>
    </comment>
    <comment ref="D259" authorId="0" shapeId="0">
      <text>
        <t>Interest = MAX(0, Opening * AnnualRate / 12)</t>
      </text>
    </comment>
    <comment ref="E259" authorId="0" shapeId="0">
      <text>
        <t>Principal = MAX(0, MIN(Opening, Payment - Interest))</t>
      </text>
    </comment>
    <comment ref="F259" authorId="0" shapeId="0">
      <text>
        <t>Closing = MAX(0, Opening - Principal)</t>
      </text>
    </comment>
    <comment ref="C260" authorId="0" shapeId="0">
      <text>
        <t>Loan: Peapack Capital, 25 Trailers (July 2024).
Source: Meiborg_Debt_Schedule_202511.xlsx</t>
      </text>
    </comment>
    <comment ref="D260" authorId="0" shapeId="0">
      <text>
        <t>Interest = MAX(0, Opening * AnnualRate / 12)</t>
      </text>
    </comment>
    <comment ref="E260" authorId="0" shapeId="0">
      <text>
        <t>Principal = MAX(0, MIN(Opening, Payment - Interest))</t>
      </text>
    </comment>
    <comment ref="F260" authorId="0" shapeId="0">
      <text>
        <t>Closing = MAX(0, Opening - Principal)</t>
      </text>
    </comment>
    <comment ref="C261" authorId="0" shapeId="0">
      <text>
        <t>Loan: Peapack Capital, 25 Trailers (July 2024).
Source: Meiborg_Debt_Schedule_202511.xlsx</t>
      </text>
    </comment>
    <comment ref="D261" authorId="0" shapeId="0">
      <text>
        <t>Interest = MAX(0, Opening * AnnualRate / 12)</t>
      </text>
    </comment>
    <comment ref="E261" authorId="0" shapeId="0">
      <text>
        <t>Principal = MAX(0, MIN(Opening, Payment - Interest))</t>
      </text>
    </comment>
    <comment ref="F261" authorId="0" shapeId="0">
      <text>
        <t>Closing = MAX(0, Opening - Principal)</t>
      </text>
    </comment>
    <comment ref="D262" authorId="0" shapeId="0">
      <text>
        <t>Sum of rows 192-261: Interest</t>
      </text>
    </comment>
    <comment ref="E262" authorId="0" shapeId="0">
      <text>
        <t>Sum of rows 192-261: Principal</t>
      </text>
    </comment>
  </commentList>
</comments>
</file>

<file path=xl/comments/comment13.xml><?xml version="1.0" encoding="utf-8"?>
<comments xmlns="http://schemas.openxmlformats.org/spreadsheetml/2006/main">
  <authors>
    <author>Model Builder</author>
  </authors>
  <commentList>
    <comment ref="A1" authorId="0" shapeId="0">
      <text>
        <t>Source: Meiborg_Debt_Schedule_202511.xlsx
Extracted: 2026-05-19</t>
      </text>
    </comment>
    <comment ref="B4" authorId="0" shapeId="0">
      <text>
        <t>Source: loans.md, Lender: Signature Bank
Loan ID: 05-2981-000-000-00
Extracted: 2026-05-19</t>
      </text>
    </comment>
    <comment ref="C4" authorId="0" shapeId="0">
      <text>
        <t>Source: loans.md, Lender: Signature Bank
Extracted: 2026-05-19</t>
      </text>
    </comment>
    <comment ref="E4" authorId="0" shapeId="0">
      <text>
        <t>Source: loans.md, Lender: Signature Bank
Extracted: 2026-05-19</t>
      </text>
    </comment>
    <comment ref="B5" authorId="0" shapeId="0">
      <text>
        <t>Source: loans.md, Lender: NBH Bank
Loan ID: 05-2982-000-000-00
Extracted: 2026-05-19</t>
      </text>
    </comment>
    <comment ref="C5" authorId="0" shapeId="0">
      <text>
        <t>Source: loans.md, Lender: NBH Bank
Extracted: 2026-05-19</t>
      </text>
    </comment>
    <comment ref="E5" authorId="0" shapeId="0">
      <text>
        <t>Source: loans.md, Lender: NBH Bank
Extracted: 2026-05-19</t>
      </text>
    </comment>
    <comment ref="B6" authorId="0" shapeId="0">
      <text>
        <t>Source: loans.md, Lender: Peoples Bank (M&amp;T)
Loan ID: 05-2983-000-000-00
Extracted: 2026-05-19</t>
      </text>
    </comment>
    <comment ref="C6" authorId="0" shapeId="0">
      <text>
        <t>Source: loans.md, Lender: Peoples Bank (M&amp;T)
Extracted: 2026-05-19</t>
      </text>
    </comment>
    <comment ref="E6" authorId="0" shapeId="0">
      <text>
        <t>Source: loans.md, Lender: Peoples Bank (M&amp;T)
Extracted: 2026-05-19</t>
      </text>
    </comment>
    <comment ref="B7" authorId="0" shapeId="0">
      <text>
        <t>Sum of rows 4-6: Regional bank loan balances</t>
      </text>
    </comment>
    <comment ref="E7" authorId="0" shapeId="0">
      <text>
        <t>Sum of rows 4-6: Regional bank monthly payments</t>
      </text>
    </comment>
    <comment ref="B12" authorId="0" shapeId="0">
      <text>
        <t>Source: loans.md, Signature Bank
Extracted: 2026-05-19</t>
      </text>
    </comment>
    <comment ref="B15" authorId="0" shapeId="0">
      <text>
        <t>Source: loans.md, Signature Bank
Remaining Balance as of Nov 30, 2025
Extracted: 2026-05-19</t>
      </text>
    </comment>
    <comment ref="B16" authorId="0" shapeId="0">
      <text>
        <t>Source: loans.md, Signature Bank
Extracted: 2026-05-19</t>
      </text>
    </comment>
    <comment ref="B17" authorId="0" shapeId="0">
      <text>
        <t>Source: loans.md, Signature Bank
Extracted: 2026-05-19</t>
      </text>
    </comment>
    <comment ref="C31" authorId="0" shapeId="0">
      <text>
        <t>Loan: Signature Bank, 25 Trailers (Oct 2020). Source: loans.md</t>
      </text>
    </comment>
    <comment ref="D31" authorId="0" shapeId="0">
      <text>
        <t>Loan: Signature Bank, Interest = Opening * Rate / 12</t>
      </text>
    </comment>
    <comment ref="E31" authorId="0" shapeId="0">
      <text>
        <t>Loan: Signature Bank, Principal = MIN(Opening, Payment - Interest)</t>
      </text>
    </comment>
    <comment ref="F31" authorId="0" shapeId="0">
      <text>
        <t>Loan: Signature Bank, Payment = Interest + Principal</t>
      </text>
    </comment>
    <comment ref="G31" authorId="0" shapeId="0">
      <text>
        <t>Loan: Signature Bank, Closing = Opening - Principal</t>
      </text>
    </comment>
    <comment ref="C32" authorId="0" shapeId="0">
      <text>
        <t>Loan: Signature Bank, Opening = Prior Closing</t>
      </text>
    </comment>
    <comment ref="D32" authorId="0" shapeId="0">
      <text>
        <t>Loan: Signature Bank, Interest = Opening * Rate / 12</t>
      </text>
    </comment>
    <comment ref="E32" authorId="0" shapeId="0">
      <text>
        <t>Loan: Signature Bank, Principal = MIN(Opening, Payment - Interest)</t>
      </text>
    </comment>
    <comment ref="F32" authorId="0" shapeId="0">
      <text>
        <t>Loan: Signature Bank, Payment = Interest + Principal</t>
      </text>
    </comment>
    <comment ref="G32" authorId="0" shapeId="0">
      <text>
        <t>Loan: Signature Bank, Closing = Opening - Principal</t>
      </text>
    </comment>
    <comment ref="C33" authorId="0" shapeId="0">
      <text>
        <t>Loan: Signature Bank, Opening = Prior Closing</t>
      </text>
    </comment>
    <comment ref="D33" authorId="0" shapeId="0">
      <text>
        <t>Loan: Signature Bank, Interest = Opening * Rate / 12</t>
      </text>
    </comment>
    <comment ref="E33" authorId="0" shapeId="0">
      <text>
        <t>Loan: Signature Bank, Principal = MIN(Opening, Payment - Interest)</t>
      </text>
    </comment>
    <comment ref="F33" authorId="0" shapeId="0">
      <text>
        <t>Loan: Signature Bank, Payment = Interest + Principal</t>
      </text>
    </comment>
    <comment ref="G33" authorId="0" shapeId="0">
      <text>
        <t>Loan: Signature Bank, Closing = Opening - Principal</t>
      </text>
    </comment>
    <comment ref="C34" authorId="0" shapeId="0">
      <text>
        <t>Loan: Signature Bank, Opening = Prior Closing</t>
      </text>
    </comment>
    <comment ref="D34" authorId="0" shapeId="0">
      <text>
        <t>Loan: Signature Bank, Interest = Opening * Rate / 12</t>
      </text>
    </comment>
    <comment ref="E34" authorId="0" shapeId="0">
      <text>
        <t>Loan: Signature Bank, Principal = MIN(Opening, Payment - Interest)</t>
      </text>
    </comment>
    <comment ref="F34" authorId="0" shapeId="0">
      <text>
        <t>Loan: Signature Bank, Payment = Interest + Principal</t>
      </text>
    </comment>
    <comment ref="G34" authorId="0" shapeId="0">
      <text>
        <t>Loan: Signature Bank, Closing = Opening - Principal</t>
      </text>
    </comment>
    <comment ref="C35" authorId="0" shapeId="0">
      <text>
        <t>Loan: Signature Bank, Opening = Prior Closing</t>
      </text>
    </comment>
    <comment ref="D35" authorId="0" shapeId="0">
      <text>
        <t>Loan: Signature Bank, Interest = Opening * Rate / 12</t>
      </text>
    </comment>
    <comment ref="E35" authorId="0" shapeId="0">
      <text>
        <t>Loan: Signature Bank, Principal = MIN(Opening, Payment - Interest)</t>
      </text>
    </comment>
    <comment ref="F35" authorId="0" shapeId="0">
      <text>
        <t>Loan: Signature Bank, Payment = Interest + Principal</t>
      </text>
    </comment>
    <comment ref="G35" authorId="0" shapeId="0">
      <text>
        <t>Loan: Signature Bank, Closing = Opening - Principal</t>
      </text>
    </comment>
    <comment ref="C36" authorId="0" shapeId="0">
      <text>
        <t>Loan: Signature Bank, Opening = Prior Closing</t>
      </text>
    </comment>
    <comment ref="D36" authorId="0" shapeId="0">
      <text>
        <t>Loan: Signature Bank, Interest = Opening * Rate / 12</t>
      </text>
    </comment>
    <comment ref="E36" authorId="0" shapeId="0">
      <text>
        <t>Loan: Signature Bank, Principal = MIN(Opening, Payment - Interest)</t>
      </text>
    </comment>
    <comment ref="F36" authorId="0" shapeId="0">
      <text>
        <t>Loan: Signature Bank, Payment = Interest + Principal</t>
      </text>
    </comment>
    <comment ref="G36" authorId="0" shapeId="0">
      <text>
        <t>Loan: Signature Bank, Closing = Opening - Principal</t>
      </text>
    </comment>
    <comment ref="C37" authorId="0" shapeId="0">
      <text>
        <t>Loan: Signature Bank, Opening = Prior Closing</t>
      </text>
    </comment>
    <comment ref="D37" authorId="0" shapeId="0">
      <text>
        <t>Loan: Signature Bank, Interest = Opening * Rate / 12</t>
      </text>
    </comment>
    <comment ref="E37" authorId="0" shapeId="0">
      <text>
        <t>Loan: Signature Bank, Principal = MIN(Opening, Payment - Interest)</t>
      </text>
    </comment>
    <comment ref="F37" authorId="0" shapeId="0">
      <text>
        <t>Loan: Signature Bank, Payment = Interest + Principal</t>
      </text>
    </comment>
    <comment ref="G37" authorId="0" shapeId="0">
      <text>
        <t>Loan: Signature Bank, Closing = Opening - Principal</t>
      </text>
    </comment>
    <comment ref="C38" authorId="0" shapeId="0">
      <text>
        <t>Loan: Signature Bank, Opening = Prior Closing</t>
      </text>
    </comment>
    <comment ref="D38" authorId="0" shapeId="0">
      <text>
        <t>Loan: Signature Bank, Interest = Opening * Rate / 12</t>
      </text>
    </comment>
    <comment ref="E38" authorId="0" shapeId="0">
      <text>
        <t>Loan: Signature Bank, Principal = MIN(Opening, Payment - Interest)</t>
      </text>
    </comment>
    <comment ref="F38" authorId="0" shapeId="0">
      <text>
        <t>Loan: Signature Bank, Payment = Interest + Principal</t>
      </text>
    </comment>
    <comment ref="G38" authorId="0" shapeId="0">
      <text>
        <t>Loan: Signature Bank, Closing = Opening - Principal</t>
      </text>
    </comment>
    <comment ref="C39" authorId="0" shapeId="0">
      <text>
        <t>Loan: Signature Bank, Opening = Prior Closing</t>
      </text>
    </comment>
    <comment ref="D39" authorId="0" shapeId="0">
      <text>
        <t>Loan: Signature Bank, Interest = Opening * Rate / 12</t>
      </text>
    </comment>
    <comment ref="E39" authorId="0" shapeId="0">
      <text>
        <t>Loan: Signature Bank, Principal = MIN(Opening, Payment - Interest)</t>
      </text>
    </comment>
    <comment ref="F39" authorId="0" shapeId="0">
      <text>
        <t>Loan: Signature Bank, Payment = Interest + Principal</t>
      </text>
    </comment>
    <comment ref="G39" authorId="0" shapeId="0">
      <text>
        <t>Loan: Signature Bank, Closing = Opening - Principal</t>
      </text>
    </comment>
    <comment ref="C40" authorId="0" shapeId="0">
      <text>
        <t>Loan: Signature Bank, Opening = Prior Closing</t>
      </text>
    </comment>
    <comment ref="D40" authorId="0" shapeId="0">
      <text>
        <t>Loan: Signature Bank, Interest = Opening * Rate / 12</t>
      </text>
    </comment>
    <comment ref="E40" authorId="0" shapeId="0">
      <text>
        <t>Loan: Signature Bank, Principal = MIN(Opening, Payment - Interest)</t>
      </text>
    </comment>
    <comment ref="F40" authorId="0" shapeId="0">
      <text>
        <t>Loan: Signature Bank, Payment = Interest + Principal</t>
      </text>
    </comment>
    <comment ref="G40" authorId="0" shapeId="0">
      <text>
        <t>Loan: Signature Bank, Closing = Opening - Principal</t>
      </text>
    </comment>
    <comment ref="C41" authorId="0" shapeId="0">
      <text>
        <t>Loan: Signature Bank, Opening = Prior Closing</t>
      </text>
    </comment>
    <comment ref="D41" authorId="0" shapeId="0">
      <text>
        <t>Loan: Signature Bank, Interest = Opening * Rate / 12</t>
      </text>
    </comment>
    <comment ref="E41" authorId="0" shapeId="0">
      <text>
        <t>Loan: Signature Bank, Principal = MIN(Opening, Payment - Interest)</t>
      </text>
    </comment>
    <comment ref="F41" authorId="0" shapeId="0">
      <text>
        <t>Loan: Signature Bank, Payment = Interest + Principal</t>
      </text>
    </comment>
    <comment ref="G41" authorId="0" shapeId="0">
      <text>
        <t>Loan: Signature Bank, Closing = Opening - Principal</t>
      </text>
    </comment>
    <comment ref="C42" authorId="0" shapeId="0">
      <text>
        <t>Loan: Signature Bank, Opening = Prior Closing</t>
      </text>
    </comment>
    <comment ref="D42" authorId="0" shapeId="0">
      <text>
        <t>Loan: Signature Bank, Interest = Opening * Rate / 12</t>
      </text>
    </comment>
    <comment ref="E42" authorId="0" shapeId="0">
      <text>
        <t>Loan: Signature Bank, Principal = MIN(Opening, Payment - Interest)</t>
      </text>
    </comment>
    <comment ref="F42" authorId="0" shapeId="0">
      <text>
        <t>Loan: Signature Bank, Payment = Interest + Principal</t>
      </text>
    </comment>
    <comment ref="G42" authorId="0" shapeId="0">
      <text>
        <t>Loan: Signature Bank, Closing = Opening - Principal</t>
      </text>
    </comment>
    <comment ref="C43" authorId="0" shapeId="0">
      <text>
        <t>Loan: Signature Bank, Opening = Prior Closing</t>
      </text>
    </comment>
    <comment ref="D43" authorId="0" shapeId="0">
      <text>
        <t>Loan: Signature Bank, Interest = Opening * Rate / 12</t>
      </text>
    </comment>
    <comment ref="E43" authorId="0" shapeId="0">
      <text>
        <t>Loan: Signature Bank, Principal = MIN(Opening, Payment - Interest)</t>
      </text>
    </comment>
    <comment ref="F43" authorId="0" shapeId="0">
      <text>
        <t>Loan: Signature Bank, Payment = Interest + Principal</t>
      </text>
    </comment>
    <comment ref="G43" authorId="0" shapeId="0">
      <text>
        <t>Loan: Signature Bank, Closing = Opening - Principal</t>
      </text>
    </comment>
    <comment ref="C44" authorId="0" shapeId="0">
      <text>
        <t>Loan: Signature Bank, Opening = Prior Closing</t>
      </text>
    </comment>
    <comment ref="D44" authorId="0" shapeId="0">
      <text>
        <t>Loan: Signature Bank, Interest = Opening * Rate / 12</t>
      </text>
    </comment>
    <comment ref="E44" authorId="0" shapeId="0">
      <text>
        <t>Loan: Signature Bank, Principal = MIN(Opening, Payment - Interest)</t>
      </text>
    </comment>
    <comment ref="F44" authorId="0" shapeId="0">
      <text>
        <t>Loan: Signature Bank, Payment = Interest + Principal</t>
      </text>
    </comment>
    <comment ref="G44" authorId="0" shapeId="0">
      <text>
        <t>Loan: Signature Bank, Closing = Opening - Principal</t>
      </text>
    </comment>
    <comment ref="C45" authorId="0" shapeId="0">
      <text>
        <t>Loan: Signature Bank, Opening = Prior Closing</t>
      </text>
    </comment>
    <comment ref="D45" authorId="0" shapeId="0">
      <text>
        <t>Loan: Signature Bank, Interest = Opening * Rate / 12</t>
      </text>
    </comment>
    <comment ref="E45" authorId="0" shapeId="0">
      <text>
        <t>Loan: Signature Bank, Principal = MIN(Opening, Payment - Interest)</t>
      </text>
    </comment>
    <comment ref="F45" authorId="0" shapeId="0">
      <text>
        <t>Loan: Signature Bank, Payment = Interest + Principal</t>
      </text>
    </comment>
    <comment ref="G45" authorId="0" shapeId="0">
      <text>
        <t>Loan: Signature Bank, Closing = Opening - Principal</t>
      </text>
    </comment>
    <comment ref="C46" authorId="0" shapeId="0">
      <text>
        <t>Loan: Signature Bank, Opening = Prior Closing</t>
      </text>
    </comment>
    <comment ref="D46" authorId="0" shapeId="0">
      <text>
        <t>Loan: Signature Bank, Interest = Opening * Rate / 12</t>
      </text>
    </comment>
    <comment ref="E46" authorId="0" shapeId="0">
      <text>
        <t>Loan: Signature Bank, Principal = MIN(Opening, Payment - Interest)</t>
      </text>
    </comment>
    <comment ref="F46" authorId="0" shapeId="0">
      <text>
        <t>Loan: Signature Bank, Payment = Interest + Principal</t>
      </text>
    </comment>
    <comment ref="G46" authorId="0" shapeId="0">
      <text>
        <t>Loan: Signature Bank, Closing = Opening - Principal</t>
      </text>
    </comment>
    <comment ref="C47" authorId="0" shapeId="0">
      <text>
        <t>Loan: Signature Bank, Opening = Prior Closing</t>
      </text>
    </comment>
    <comment ref="D47" authorId="0" shapeId="0">
      <text>
        <t>Loan: Signature Bank, Interest = Opening * Rate / 12</t>
      </text>
    </comment>
    <comment ref="E47" authorId="0" shapeId="0">
      <text>
        <t>Loan: Signature Bank, Principal = MIN(Opening, Payment - Interest)</t>
      </text>
    </comment>
    <comment ref="F47" authorId="0" shapeId="0">
      <text>
        <t>Loan: Signature Bank, Payment = Interest + Principal</t>
      </text>
    </comment>
    <comment ref="G47" authorId="0" shapeId="0">
      <text>
        <t>Loan: Signature Bank, Closing = Opening - Principal</t>
      </text>
    </comment>
    <comment ref="C48" authorId="0" shapeId="0">
      <text>
        <t>Loan: Signature Bank, Opening = Prior Closing</t>
      </text>
    </comment>
    <comment ref="D48" authorId="0" shapeId="0">
      <text>
        <t>Loan: Signature Bank, Interest = Opening * Rate / 12</t>
      </text>
    </comment>
    <comment ref="E48" authorId="0" shapeId="0">
      <text>
        <t>Loan: Signature Bank, Principal = MIN(Opening, Payment - Interest)</t>
      </text>
    </comment>
    <comment ref="F48" authorId="0" shapeId="0">
      <text>
        <t>Loan: Signature Bank, Payment = Interest + Principal</t>
      </text>
    </comment>
    <comment ref="G48" authorId="0" shapeId="0">
      <text>
        <t>Loan: Signature Bank, Closing = Opening - Principal</t>
      </text>
    </comment>
    <comment ref="C49" authorId="0" shapeId="0">
      <text>
        <t>Loan: Signature Bank, Opening = Prior Closing</t>
      </text>
    </comment>
    <comment ref="D49" authorId="0" shapeId="0">
      <text>
        <t>Loan: Signature Bank, Interest = Opening * Rate / 12</t>
      </text>
    </comment>
    <comment ref="E49" authorId="0" shapeId="0">
      <text>
        <t>Loan: Signature Bank, Principal = MIN(Opening, Payment - Interest)</t>
      </text>
    </comment>
    <comment ref="F49" authorId="0" shapeId="0">
      <text>
        <t>Loan: Signature Bank, Payment = Interest + Principal</t>
      </text>
    </comment>
    <comment ref="G49" authorId="0" shapeId="0">
      <text>
        <t>Loan: Signature Bank, Closing = Opening - Principal</t>
      </text>
    </comment>
    <comment ref="C50" authorId="0" shapeId="0">
      <text>
        <t>Loan: Signature Bank, Opening = Prior Closing</t>
      </text>
    </comment>
    <comment ref="D50" authorId="0" shapeId="0">
      <text>
        <t>Loan: Signature Bank, Interest = Opening * Rate / 12</t>
      </text>
    </comment>
    <comment ref="E50" authorId="0" shapeId="0">
      <text>
        <t>Loan: Signature Bank, Principal = MIN(Opening, Payment - Interest)</t>
      </text>
    </comment>
    <comment ref="F50" authorId="0" shapeId="0">
      <text>
        <t>Loan: Signature Bank, Payment = Interest + Principal</t>
      </text>
    </comment>
    <comment ref="G50" authorId="0" shapeId="0">
      <text>
        <t>Loan: Signature Bank, Closing = Opening - Principal</t>
      </text>
    </comment>
    <comment ref="C51" authorId="0" shapeId="0">
      <text>
        <t>Loan: Signature Bank, Opening = Prior Closing</t>
      </text>
    </comment>
    <comment ref="D51" authorId="0" shapeId="0">
      <text>
        <t>Loan: Signature Bank, Interest = Opening * Rate / 12</t>
      </text>
    </comment>
    <comment ref="E51" authorId="0" shapeId="0">
      <text>
        <t>Loan: Signature Bank, Principal = MIN(Opening, Payment - Interest)</t>
      </text>
    </comment>
    <comment ref="F51" authorId="0" shapeId="0">
      <text>
        <t>Loan: Signature Bank, Payment = Interest + Principal</t>
      </text>
    </comment>
    <comment ref="G51" authorId="0" shapeId="0">
      <text>
        <t>Loan: Signature Bank, Closing = Opening - Principal</t>
      </text>
    </comment>
    <comment ref="C52" authorId="0" shapeId="0">
      <text>
        <t>Loan: Signature Bank, Opening = Prior Closing</t>
      </text>
    </comment>
    <comment ref="D52" authorId="0" shapeId="0">
      <text>
        <t>Loan: Signature Bank, Interest = Opening * Rate / 12</t>
      </text>
    </comment>
    <comment ref="E52" authorId="0" shapeId="0">
      <text>
        <t>Loan: Signature Bank, Principal = MIN(Opening, Payment - Interest)</t>
      </text>
    </comment>
    <comment ref="F52" authorId="0" shapeId="0">
      <text>
        <t>Loan: Signature Bank, Payment = Interest + Principal</t>
      </text>
    </comment>
    <comment ref="G52" authorId="0" shapeId="0">
      <text>
        <t>Loan: Signature Bank, Closing = Opening - Principal</t>
      </text>
    </comment>
    <comment ref="C53" authorId="0" shapeId="0">
      <text>
        <t>Loan: Signature Bank, Opening = Prior Closing</t>
      </text>
    </comment>
    <comment ref="D53" authorId="0" shapeId="0">
      <text>
        <t>Loan: Signature Bank, Interest = Opening * Rate / 12</t>
      </text>
    </comment>
    <comment ref="E53" authorId="0" shapeId="0">
      <text>
        <t>Loan: Signature Bank, Principal = MIN(Opening, Payment - Interest)</t>
      </text>
    </comment>
    <comment ref="F53" authorId="0" shapeId="0">
      <text>
        <t>Loan: Signature Bank, Payment = Interest + Principal</t>
      </text>
    </comment>
    <comment ref="G53" authorId="0" shapeId="0">
      <text>
        <t>Loan: Signature Bank, Closing = Opening - Principal</t>
      </text>
    </comment>
    <comment ref="C54" authorId="0" shapeId="0">
      <text>
        <t>Loan: Signature Bank, Opening = Prior Closing</t>
      </text>
    </comment>
    <comment ref="D54" authorId="0" shapeId="0">
      <text>
        <t>Loan: Signature Bank, Interest = Opening * Rate / 12</t>
      </text>
    </comment>
    <comment ref="E54" authorId="0" shapeId="0">
      <text>
        <t>Loan: Signature Bank, Principal = MIN(Opening, Payment - Interest)</t>
      </text>
    </comment>
    <comment ref="F54" authorId="0" shapeId="0">
      <text>
        <t>Loan: Signature Bank, Payment = Interest + Principal</t>
      </text>
    </comment>
    <comment ref="G54" authorId="0" shapeId="0">
      <text>
        <t>Loan: Signature Bank, Closing = Opening - Principal</t>
      </text>
    </comment>
    <comment ref="D55" authorId="0" shapeId="0">
      <text>
        <t>Sum of rows 31-54: Total interest for Signature Bank</t>
      </text>
    </comment>
    <comment ref="E55" authorId="0" shapeId="0">
      <text>
        <t>Sum of rows 31-54: Total principal for Signature Bank</t>
      </text>
    </comment>
    <comment ref="F55" authorId="0" shapeId="0">
      <text>
        <t>Sum of rows 31-54: Total payments for Signature Bank</t>
      </text>
    </comment>
    <comment ref="B60" authorId="0" shapeId="0">
      <text>
        <t>Source: loans.md, NBH Bank
Extracted: 2026-05-19</t>
      </text>
    </comment>
    <comment ref="B63" authorId="0" shapeId="0">
      <text>
        <t>Source: loans.md, NBH Bank
Remaining Balance as of Nov 30, 2025
Extracted: 2026-05-19</t>
      </text>
    </comment>
    <comment ref="B64" authorId="0" shapeId="0">
      <text>
        <t>Source: loans.md, NBH Bank
Extracted: 2026-05-19</t>
      </text>
    </comment>
    <comment ref="B65" authorId="0" shapeId="0">
      <text>
        <t>Source: loans.md, NBH Bank
Extracted: 2026-05-19</t>
      </text>
    </comment>
    <comment ref="C79" authorId="0" shapeId="0">
      <text>
        <t>Loan: NBH Bank, 25 Trailers (Nov 2020). Source: loans.md</t>
      </text>
    </comment>
    <comment ref="D79" authorId="0" shapeId="0">
      <text>
        <t>Loan: NBH Bank, Interest = Opening * Rate / 12</t>
      </text>
    </comment>
    <comment ref="E79" authorId="0" shapeId="0">
      <text>
        <t>Loan: NBH Bank, Principal = MIN(Opening, Payment - Interest)</t>
      </text>
    </comment>
    <comment ref="F79" authorId="0" shapeId="0">
      <text>
        <t>Loan: NBH Bank, Payment = Interest + Principal</t>
      </text>
    </comment>
    <comment ref="G79" authorId="0" shapeId="0">
      <text>
        <t>Loan: NBH Bank, Closing = Opening - Principal</t>
      </text>
    </comment>
    <comment ref="C80" authorId="0" shapeId="0">
      <text>
        <t>Loan: NBH Bank, Opening = Prior Closing</t>
      </text>
    </comment>
    <comment ref="D80" authorId="0" shapeId="0">
      <text>
        <t>Loan: NBH Bank, Interest = Opening * Rate / 12</t>
      </text>
    </comment>
    <comment ref="E80" authorId="0" shapeId="0">
      <text>
        <t>Loan: NBH Bank, Principal = MIN(Opening, Payment - Interest)</t>
      </text>
    </comment>
    <comment ref="F80" authorId="0" shapeId="0">
      <text>
        <t>Loan: NBH Bank, Payment = Interest + Principal</t>
      </text>
    </comment>
    <comment ref="G80" authorId="0" shapeId="0">
      <text>
        <t>Loan: NBH Bank, Closing = Opening - Principal</t>
      </text>
    </comment>
    <comment ref="C81" authorId="0" shapeId="0">
      <text>
        <t>Loan: NBH Bank, Opening = Prior Closing</t>
      </text>
    </comment>
    <comment ref="D81" authorId="0" shapeId="0">
      <text>
        <t>Loan: NBH Bank, Interest = Opening * Rate / 12</t>
      </text>
    </comment>
    <comment ref="E81" authorId="0" shapeId="0">
      <text>
        <t>Loan: NBH Bank, Principal = MIN(Opening, Payment - Interest)</t>
      </text>
    </comment>
    <comment ref="F81" authorId="0" shapeId="0">
      <text>
        <t>Loan: NBH Bank, Payment = Interest + Principal</t>
      </text>
    </comment>
    <comment ref="G81" authorId="0" shapeId="0">
      <text>
        <t>Loan: NBH Bank, Closing = Opening - Principal</t>
      </text>
    </comment>
    <comment ref="C82" authorId="0" shapeId="0">
      <text>
        <t>Loan: NBH Bank, Opening = Prior Closing</t>
      </text>
    </comment>
    <comment ref="D82" authorId="0" shapeId="0">
      <text>
        <t>Loan: NBH Bank, Interest = Opening * Rate / 12</t>
      </text>
    </comment>
    <comment ref="E82" authorId="0" shapeId="0">
      <text>
        <t>Loan: NBH Bank, Principal = MIN(Opening, Payment - Interest)</t>
      </text>
    </comment>
    <comment ref="F82" authorId="0" shapeId="0">
      <text>
        <t>Loan: NBH Bank, Payment = Interest + Principal</t>
      </text>
    </comment>
    <comment ref="G82" authorId="0" shapeId="0">
      <text>
        <t>Loan: NBH Bank, Closing = Opening - Principal</t>
      </text>
    </comment>
    <comment ref="C83" authorId="0" shapeId="0">
      <text>
        <t>Loan: NBH Bank, Opening = Prior Closing</t>
      </text>
    </comment>
    <comment ref="D83" authorId="0" shapeId="0">
      <text>
        <t>Loan: NBH Bank, Interest = Opening * Rate / 12</t>
      </text>
    </comment>
    <comment ref="E83" authorId="0" shapeId="0">
      <text>
        <t>Loan: NBH Bank, Principal = MIN(Opening, Payment - Interest)</t>
      </text>
    </comment>
    <comment ref="F83" authorId="0" shapeId="0">
      <text>
        <t>Loan: NBH Bank, Payment = Interest + Principal</t>
      </text>
    </comment>
    <comment ref="G83" authorId="0" shapeId="0">
      <text>
        <t>Loan: NBH Bank, Closing = Opening - Principal</t>
      </text>
    </comment>
    <comment ref="C84" authorId="0" shapeId="0">
      <text>
        <t>Loan: NBH Bank, Opening = Prior Closing</t>
      </text>
    </comment>
    <comment ref="D84" authorId="0" shapeId="0">
      <text>
        <t>Loan: NBH Bank, Interest = Opening * Rate / 12</t>
      </text>
    </comment>
    <comment ref="E84" authorId="0" shapeId="0">
      <text>
        <t>Loan: NBH Bank, Principal = MIN(Opening, Payment - Interest)</t>
      </text>
    </comment>
    <comment ref="F84" authorId="0" shapeId="0">
      <text>
        <t>Loan: NBH Bank, Payment = Interest + Principal</t>
      </text>
    </comment>
    <comment ref="G84" authorId="0" shapeId="0">
      <text>
        <t>Loan: NBH Bank, Closing = Opening - Principal</t>
      </text>
    </comment>
    <comment ref="C85" authorId="0" shapeId="0">
      <text>
        <t>Loan: NBH Bank, Opening = Prior Closing</t>
      </text>
    </comment>
    <comment ref="D85" authorId="0" shapeId="0">
      <text>
        <t>Loan: NBH Bank, Interest = Opening * Rate / 12</t>
      </text>
    </comment>
    <comment ref="E85" authorId="0" shapeId="0">
      <text>
        <t>Loan: NBH Bank, Principal = MIN(Opening, Payment - Interest)</t>
      </text>
    </comment>
    <comment ref="F85" authorId="0" shapeId="0">
      <text>
        <t>Loan: NBH Bank, Payment = Interest + Principal</t>
      </text>
    </comment>
    <comment ref="G85" authorId="0" shapeId="0">
      <text>
        <t>Loan: NBH Bank, Closing = Opening - Principal</t>
      </text>
    </comment>
    <comment ref="C86" authorId="0" shapeId="0">
      <text>
        <t>Loan: NBH Bank, Opening = Prior Closing</t>
      </text>
    </comment>
    <comment ref="D86" authorId="0" shapeId="0">
      <text>
        <t>Loan: NBH Bank, Interest = Opening * Rate / 12</t>
      </text>
    </comment>
    <comment ref="E86" authorId="0" shapeId="0">
      <text>
        <t>Loan: NBH Bank, Principal = MIN(Opening, Payment - Interest)</t>
      </text>
    </comment>
    <comment ref="F86" authorId="0" shapeId="0">
      <text>
        <t>Loan: NBH Bank, Payment = Interest + Principal</t>
      </text>
    </comment>
    <comment ref="G86" authorId="0" shapeId="0">
      <text>
        <t>Loan: NBH Bank, Closing = Opening - Principal</t>
      </text>
    </comment>
    <comment ref="C87" authorId="0" shapeId="0">
      <text>
        <t>Loan: NBH Bank, Opening = Prior Closing</t>
      </text>
    </comment>
    <comment ref="D87" authorId="0" shapeId="0">
      <text>
        <t>Loan: NBH Bank, Interest = Opening * Rate / 12</t>
      </text>
    </comment>
    <comment ref="E87" authorId="0" shapeId="0">
      <text>
        <t>Loan: NBH Bank, Principal = MIN(Opening, Payment - Interest)</t>
      </text>
    </comment>
    <comment ref="F87" authorId="0" shapeId="0">
      <text>
        <t>Loan: NBH Bank, Payment = Interest + Principal</t>
      </text>
    </comment>
    <comment ref="G87" authorId="0" shapeId="0">
      <text>
        <t>Loan: NBH Bank, Closing = Opening - Principal</t>
      </text>
    </comment>
    <comment ref="C88" authorId="0" shapeId="0">
      <text>
        <t>Loan: NBH Bank, Opening = Prior Closing</t>
      </text>
    </comment>
    <comment ref="D88" authorId="0" shapeId="0">
      <text>
        <t>Loan: NBH Bank, Interest = Opening * Rate / 12</t>
      </text>
    </comment>
    <comment ref="E88" authorId="0" shapeId="0">
      <text>
        <t>Loan: NBH Bank, Principal = MIN(Opening, Payment - Interest)</t>
      </text>
    </comment>
    <comment ref="F88" authorId="0" shapeId="0">
      <text>
        <t>Loan: NBH Bank, Payment = Interest + Principal</t>
      </text>
    </comment>
    <comment ref="G88" authorId="0" shapeId="0">
      <text>
        <t>Loan: NBH Bank, Closing = Opening - Principal</t>
      </text>
    </comment>
    <comment ref="C89" authorId="0" shapeId="0">
      <text>
        <t>Loan: NBH Bank, Opening = Prior Closing</t>
      </text>
    </comment>
    <comment ref="D89" authorId="0" shapeId="0">
      <text>
        <t>Loan: NBH Bank, Interest = Opening * Rate / 12</t>
      </text>
    </comment>
    <comment ref="E89" authorId="0" shapeId="0">
      <text>
        <t>Loan: NBH Bank, Principal = MIN(Opening, Payment - Interest)</t>
      </text>
    </comment>
    <comment ref="F89" authorId="0" shapeId="0">
      <text>
        <t>Loan: NBH Bank, Payment = Interest + Principal</t>
      </text>
    </comment>
    <comment ref="G89" authorId="0" shapeId="0">
      <text>
        <t>Loan: NBH Bank, Closing = Opening - Principal</t>
      </text>
    </comment>
    <comment ref="C90" authorId="0" shapeId="0">
      <text>
        <t>Loan: NBH Bank, Opening = Prior Closing</t>
      </text>
    </comment>
    <comment ref="D90" authorId="0" shapeId="0">
      <text>
        <t>Loan: NBH Bank, Interest = Opening * Rate / 12</t>
      </text>
    </comment>
    <comment ref="E90" authorId="0" shapeId="0">
      <text>
        <t>Loan: NBH Bank, Principal = MIN(Opening, Payment - Interest)</t>
      </text>
    </comment>
    <comment ref="F90" authorId="0" shapeId="0">
      <text>
        <t>Loan: NBH Bank, Payment = Interest + Principal</t>
      </text>
    </comment>
    <comment ref="G90" authorId="0" shapeId="0">
      <text>
        <t>Loan: NBH Bank, Closing = Opening - Principal</t>
      </text>
    </comment>
    <comment ref="C91" authorId="0" shapeId="0">
      <text>
        <t>Loan: NBH Bank, Opening = Prior Closing</t>
      </text>
    </comment>
    <comment ref="D91" authorId="0" shapeId="0">
      <text>
        <t>Loan: NBH Bank, Interest = Opening * Rate / 12</t>
      </text>
    </comment>
    <comment ref="E91" authorId="0" shapeId="0">
      <text>
        <t>Loan: NBH Bank, Principal = MIN(Opening, Payment - Interest)</t>
      </text>
    </comment>
    <comment ref="F91" authorId="0" shapeId="0">
      <text>
        <t>Loan: NBH Bank, Payment = Interest + Principal</t>
      </text>
    </comment>
    <comment ref="G91" authorId="0" shapeId="0">
      <text>
        <t>Loan: NBH Bank, Closing = Opening - Principal</t>
      </text>
    </comment>
    <comment ref="C92" authorId="0" shapeId="0">
      <text>
        <t>Loan: NBH Bank, Opening = Prior Closing</t>
      </text>
    </comment>
    <comment ref="D92" authorId="0" shapeId="0">
      <text>
        <t>Loan: NBH Bank, Interest = Opening * Rate / 12</t>
      </text>
    </comment>
    <comment ref="E92" authorId="0" shapeId="0">
      <text>
        <t>Loan: NBH Bank, Principal = MIN(Opening, Payment - Interest)</t>
      </text>
    </comment>
    <comment ref="F92" authorId="0" shapeId="0">
      <text>
        <t>Loan: NBH Bank, Payment = Interest + Principal</t>
      </text>
    </comment>
    <comment ref="G92" authorId="0" shapeId="0">
      <text>
        <t>Loan: NBH Bank, Closing = Opening - Principal</t>
      </text>
    </comment>
    <comment ref="C93" authorId="0" shapeId="0">
      <text>
        <t>Loan: NBH Bank, Opening = Prior Closing</t>
      </text>
    </comment>
    <comment ref="D93" authorId="0" shapeId="0">
      <text>
        <t>Loan: NBH Bank, Interest = Opening * Rate / 12</t>
      </text>
    </comment>
    <comment ref="E93" authorId="0" shapeId="0">
      <text>
        <t>Loan: NBH Bank, Principal = MIN(Opening, Payment - Interest)</t>
      </text>
    </comment>
    <comment ref="F93" authorId="0" shapeId="0">
      <text>
        <t>Loan: NBH Bank, Payment = Interest + Principal</t>
      </text>
    </comment>
    <comment ref="G93" authorId="0" shapeId="0">
      <text>
        <t>Loan: NBH Bank, Closing = Opening - Principal</t>
      </text>
    </comment>
    <comment ref="C94" authorId="0" shapeId="0">
      <text>
        <t>Loan: NBH Bank, Opening = Prior Closing</t>
      </text>
    </comment>
    <comment ref="D94" authorId="0" shapeId="0">
      <text>
        <t>Loan: NBH Bank, Interest = Opening * Rate / 12</t>
      </text>
    </comment>
    <comment ref="E94" authorId="0" shapeId="0">
      <text>
        <t>Loan: NBH Bank, Principal = MIN(Opening, Payment - Interest)</t>
      </text>
    </comment>
    <comment ref="F94" authorId="0" shapeId="0">
      <text>
        <t>Loan: NBH Bank, Payment = Interest + Principal</t>
      </text>
    </comment>
    <comment ref="G94" authorId="0" shapeId="0">
      <text>
        <t>Loan: NBH Bank, Closing = Opening - Principal</t>
      </text>
    </comment>
    <comment ref="C95" authorId="0" shapeId="0">
      <text>
        <t>Loan: NBH Bank, Opening = Prior Closing</t>
      </text>
    </comment>
    <comment ref="D95" authorId="0" shapeId="0">
      <text>
        <t>Loan: NBH Bank, Interest = Opening * Rate / 12</t>
      </text>
    </comment>
    <comment ref="E95" authorId="0" shapeId="0">
      <text>
        <t>Loan: NBH Bank, Principal = MIN(Opening, Payment - Interest)</t>
      </text>
    </comment>
    <comment ref="F95" authorId="0" shapeId="0">
      <text>
        <t>Loan: NBH Bank, Payment = Interest + Principal</t>
      </text>
    </comment>
    <comment ref="G95" authorId="0" shapeId="0">
      <text>
        <t>Loan: NBH Bank, Closing = Opening - Principal</t>
      </text>
    </comment>
    <comment ref="C96" authorId="0" shapeId="0">
      <text>
        <t>Loan: NBH Bank, Opening = Prior Closing</t>
      </text>
    </comment>
    <comment ref="D96" authorId="0" shapeId="0">
      <text>
        <t>Loan: NBH Bank, Interest = Opening * Rate / 12</t>
      </text>
    </comment>
    <comment ref="E96" authorId="0" shapeId="0">
      <text>
        <t>Loan: NBH Bank, Principal = MIN(Opening, Payment - Interest)</t>
      </text>
    </comment>
    <comment ref="F96" authorId="0" shapeId="0">
      <text>
        <t>Loan: NBH Bank, Payment = Interest + Principal</t>
      </text>
    </comment>
    <comment ref="G96" authorId="0" shapeId="0">
      <text>
        <t>Loan: NBH Bank, Closing = Opening - Principal</t>
      </text>
    </comment>
    <comment ref="C97" authorId="0" shapeId="0">
      <text>
        <t>Loan: NBH Bank, Opening = Prior Closing</t>
      </text>
    </comment>
    <comment ref="D97" authorId="0" shapeId="0">
      <text>
        <t>Loan: NBH Bank, Interest = Opening * Rate / 12</t>
      </text>
    </comment>
    <comment ref="E97" authorId="0" shapeId="0">
      <text>
        <t>Loan: NBH Bank, Principal = MIN(Opening, Payment - Interest)</t>
      </text>
    </comment>
    <comment ref="F97" authorId="0" shapeId="0">
      <text>
        <t>Loan: NBH Bank, Payment = Interest + Principal</t>
      </text>
    </comment>
    <comment ref="G97" authorId="0" shapeId="0">
      <text>
        <t>Loan: NBH Bank, Closing = Opening - Principal</t>
      </text>
    </comment>
    <comment ref="C98" authorId="0" shapeId="0">
      <text>
        <t>Loan: NBH Bank, Opening = Prior Closing</t>
      </text>
    </comment>
    <comment ref="D98" authorId="0" shapeId="0">
      <text>
        <t>Loan: NBH Bank, Interest = Opening * Rate / 12</t>
      </text>
    </comment>
    <comment ref="E98" authorId="0" shapeId="0">
      <text>
        <t>Loan: NBH Bank, Principal = MIN(Opening, Payment - Interest)</t>
      </text>
    </comment>
    <comment ref="F98" authorId="0" shapeId="0">
      <text>
        <t>Loan: NBH Bank, Payment = Interest + Principal</t>
      </text>
    </comment>
    <comment ref="G98" authorId="0" shapeId="0">
      <text>
        <t>Loan: NBH Bank, Closing = Opening - Principal</t>
      </text>
    </comment>
    <comment ref="C99" authorId="0" shapeId="0">
      <text>
        <t>Loan: NBH Bank, Opening = Prior Closing</t>
      </text>
    </comment>
    <comment ref="D99" authorId="0" shapeId="0">
      <text>
        <t>Loan: NBH Bank, Interest = Opening * Rate / 12</t>
      </text>
    </comment>
    <comment ref="E99" authorId="0" shapeId="0">
      <text>
        <t>Loan: NBH Bank, Principal = MIN(Opening, Payment - Interest)</t>
      </text>
    </comment>
    <comment ref="F99" authorId="0" shapeId="0">
      <text>
        <t>Loan: NBH Bank, Payment = Interest + Principal</t>
      </text>
    </comment>
    <comment ref="G99" authorId="0" shapeId="0">
      <text>
        <t>Loan: NBH Bank, Closing = Opening - Principal</t>
      </text>
    </comment>
    <comment ref="C100" authorId="0" shapeId="0">
      <text>
        <t>Loan: NBH Bank, Opening = Prior Closing</t>
      </text>
    </comment>
    <comment ref="D100" authorId="0" shapeId="0">
      <text>
        <t>Loan: NBH Bank, Interest = Opening * Rate / 12</t>
      </text>
    </comment>
    <comment ref="E100" authorId="0" shapeId="0">
      <text>
        <t>Loan: NBH Bank, Principal = MIN(Opening, Payment - Interest)</t>
      </text>
    </comment>
    <comment ref="F100" authorId="0" shapeId="0">
      <text>
        <t>Loan: NBH Bank, Payment = Interest + Principal</t>
      </text>
    </comment>
    <comment ref="G100" authorId="0" shapeId="0">
      <text>
        <t>Loan: NBH Bank, Closing = Opening - Principal</t>
      </text>
    </comment>
    <comment ref="C101" authorId="0" shapeId="0">
      <text>
        <t>Loan: NBH Bank, Opening = Prior Closing</t>
      </text>
    </comment>
    <comment ref="D101" authorId="0" shapeId="0">
      <text>
        <t>Loan: NBH Bank, Interest = Opening * Rate / 12</t>
      </text>
    </comment>
    <comment ref="E101" authorId="0" shapeId="0">
      <text>
        <t>Loan: NBH Bank, Principal = MIN(Opening, Payment - Interest)</t>
      </text>
    </comment>
    <comment ref="F101" authorId="0" shapeId="0">
      <text>
        <t>Loan: NBH Bank, Payment = Interest + Principal</t>
      </text>
    </comment>
    <comment ref="G101" authorId="0" shapeId="0">
      <text>
        <t>Loan: NBH Bank, Closing = Opening - Principal</t>
      </text>
    </comment>
    <comment ref="C102" authorId="0" shapeId="0">
      <text>
        <t>Loan: NBH Bank, Opening = Prior Closing</t>
      </text>
    </comment>
    <comment ref="D102" authorId="0" shapeId="0">
      <text>
        <t>Loan: NBH Bank, Interest = Opening * Rate / 12</t>
      </text>
    </comment>
    <comment ref="E102" authorId="0" shapeId="0">
      <text>
        <t>Loan: NBH Bank, Principal = MIN(Opening, Payment - Interest)</t>
      </text>
    </comment>
    <comment ref="F102" authorId="0" shapeId="0">
      <text>
        <t>Loan: NBH Bank, Payment = Interest + Principal</t>
      </text>
    </comment>
    <comment ref="G102" authorId="0" shapeId="0">
      <text>
        <t>Loan: NBH Bank, Closing = Opening - Principal</t>
      </text>
    </comment>
    <comment ref="D103" authorId="0" shapeId="0">
      <text>
        <t>Sum of rows 79-102: Total interest for NBH Bank</t>
      </text>
    </comment>
    <comment ref="E103" authorId="0" shapeId="0">
      <text>
        <t>Sum of rows 79-102: Total principal for NBH Bank</t>
      </text>
    </comment>
    <comment ref="F103" authorId="0" shapeId="0">
      <text>
        <t>Sum of rows 79-102: Total payments for NBH Bank</t>
      </text>
    </comment>
    <comment ref="B108" authorId="0" shapeId="0">
      <text>
        <t>Source: loans.md, Peoples Bank (M&amp;T)
Extracted: 2026-05-19</t>
      </text>
    </comment>
    <comment ref="B111" authorId="0" shapeId="0">
      <text>
        <t>Source: loans.md, Peoples Bank (M&amp;T)
Remaining Balance as of Nov 30, 2025
Extracted: 2026-05-19</t>
      </text>
    </comment>
    <comment ref="B112" authorId="0" shapeId="0">
      <text>
        <t>Source: loans.md, Peoples Bank (M&amp;T)
Extracted: 2026-05-19</t>
      </text>
    </comment>
    <comment ref="B113" authorId="0" shapeId="0">
      <text>
        <t>Source: loans.md, Peoples Bank (M&amp;T)
Extracted: 2026-05-19</t>
      </text>
    </comment>
    <comment ref="C127" authorId="0" shapeId="0">
      <text>
        <t>Loan: Peoples Bank (M&amp;T), 25 Trailers (Dec 2020). Source: loans.md</t>
      </text>
    </comment>
    <comment ref="D127" authorId="0" shapeId="0">
      <text>
        <t>Loan: Peoples Bank (M&amp;T), Interest = Opening * Rate / 12</t>
      </text>
    </comment>
    <comment ref="E127" authorId="0" shapeId="0">
      <text>
        <t>Loan: Peoples Bank (M&amp;T), Principal = MIN(Opening, Payment - Interest)</t>
      </text>
    </comment>
    <comment ref="F127" authorId="0" shapeId="0">
      <text>
        <t>Loan: Peoples Bank (M&amp;T), Payment = Interest + Principal</t>
      </text>
    </comment>
    <comment ref="G127" authorId="0" shapeId="0">
      <text>
        <t>Loan: Peoples Bank (M&amp;T), Closing = Opening - Principal</t>
      </text>
    </comment>
    <comment ref="C128" authorId="0" shapeId="0">
      <text>
        <t>Loan: Peoples Bank (M&amp;T), Opening = Prior Closing</t>
      </text>
    </comment>
    <comment ref="D128" authorId="0" shapeId="0">
      <text>
        <t>Loan: Peoples Bank (M&amp;T), Interest = Opening * Rate / 12</t>
      </text>
    </comment>
    <comment ref="E128" authorId="0" shapeId="0">
      <text>
        <t>Loan: Peoples Bank (M&amp;T), Principal = MIN(Opening, Payment - Interest)</t>
      </text>
    </comment>
    <comment ref="F128" authorId="0" shapeId="0">
      <text>
        <t>Loan: Peoples Bank (M&amp;T), Payment = Interest + Principal</t>
      </text>
    </comment>
    <comment ref="G128" authorId="0" shapeId="0">
      <text>
        <t>Loan: Peoples Bank (M&amp;T), Closing = Opening - Principal</t>
      </text>
    </comment>
    <comment ref="C129" authorId="0" shapeId="0">
      <text>
        <t>Loan: Peoples Bank (M&amp;T), Opening = Prior Closing</t>
      </text>
    </comment>
    <comment ref="D129" authorId="0" shapeId="0">
      <text>
        <t>Loan: Peoples Bank (M&amp;T), Interest = Opening * Rate / 12</t>
      </text>
    </comment>
    <comment ref="E129" authorId="0" shapeId="0">
      <text>
        <t>Loan: Peoples Bank (M&amp;T), Principal = MIN(Opening, Payment - Interest)</t>
      </text>
    </comment>
    <comment ref="F129" authorId="0" shapeId="0">
      <text>
        <t>Loan: Peoples Bank (M&amp;T), Payment = Interest + Principal</t>
      </text>
    </comment>
    <comment ref="G129" authorId="0" shapeId="0">
      <text>
        <t>Loan: Peoples Bank (M&amp;T), Closing = Opening - Principal</t>
      </text>
    </comment>
    <comment ref="C130" authorId="0" shapeId="0">
      <text>
        <t>Loan: Peoples Bank (M&amp;T), Opening = Prior Closing</t>
      </text>
    </comment>
    <comment ref="D130" authorId="0" shapeId="0">
      <text>
        <t>Loan: Peoples Bank (M&amp;T), Interest = Opening * Rate / 12</t>
      </text>
    </comment>
    <comment ref="E130" authorId="0" shapeId="0">
      <text>
        <t>Loan: Peoples Bank (M&amp;T), Principal = MIN(Opening, Payment - Interest)</t>
      </text>
    </comment>
    <comment ref="F130" authorId="0" shapeId="0">
      <text>
        <t>Loan: Peoples Bank (M&amp;T), Payment = Interest + Principal</t>
      </text>
    </comment>
    <comment ref="G130" authorId="0" shapeId="0">
      <text>
        <t>Loan: Peoples Bank (M&amp;T), Closing = Opening - Principal</t>
      </text>
    </comment>
    <comment ref="C131" authorId="0" shapeId="0">
      <text>
        <t>Loan: Peoples Bank (M&amp;T), Opening = Prior Closing</t>
      </text>
    </comment>
    <comment ref="D131" authorId="0" shapeId="0">
      <text>
        <t>Loan: Peoples Bank (M&amp;T), Interest = Opening * Rate / 12</t>
      </text>
    </comment>
    <comment ref="E131" authorId="0" shapeId="0">
      <text>
        <t>Loan: Peoples Bank (M&amp;T), Principal = MIN(Opening, Payment - Interest)</t>
      </text>
    </comment>
    <comment ref="F131" authorId="0" shapeId="0">
      <text>
        <t>Loan: Peoples Bank (M&amp;T), Payment = Interest + Principal</t>
      </text>
    </comment>
    <comment ref="G131" authorId="0" shapeId="0">
      <text>
        <t>Loan: Peoples Bank (M&amp;T), Closing = Opening - Principal</t>
      </text>
    </comment>
    <comment ref="C132" authorId="0" shapeId="0">
      <text>
        <t>Loan: Peoples Bank (M&amp;T), Opening = Prior Closing</t>
      </text>
    </comment>
    <comment ref="D132" authorId="0" shapeId="0">
      <text>
        <t>Loan: Peoples Bank (M&amp;T), Interest = Opening * Rate / 12</t>
      </text>
    </comment>
    <comment ref="E132" authorId="0" shapeId="0">
      <text>
        <t>Loan: Peoples Bank (M&amp;T), Principal = MIN(Opening, Payment - Interest)</t>
      </text>
    </comment>
    <comment ref="F132" authorId="0" shapeId="0">
      <text>
        <t>Loan: Peoples Bank (M&amp;T), Payment = Interest + Principal</t>
      </text>
    </comment>
    <comment ref="G132" authorId="0" shapeId="0">
      <text>
        <t>Loan: Peoples Bank (M&amp;T), Closing = Opening - Principal</t>
      </text>
    </comment>
    <comment ref="C133" authorId="0" shapeId="0">
      <text>
        <t>Loan: Peoples Bank (M&amp;T), Opening = Prior Closing</t>
      </text>
    </comment>
    <comment ref="D133" authorId="0" shapeId="0">
      <text>
        <t>Loan: Peoples Bank (M&amp;T), Interest = Opening * Rate / 12</t>
      </text>
    </comment>
    <comment ref="E133" authorId="0" shapeId="0">
      <text>
        <t>Loan: Peoples Bank (M&amp;T), Principal = MIN(Opening, Payment - Interest)</t>
      </text>
    </comment>
    <comment ref="F133" authorId="0" shapeId="0">
      <text>
        <t>Loan: Peoples Bank (M&amp;T), Payment = Interest + Principal</t>
      </text>
    </comment>
    <comment ref="G133" authorId="0" shapeId="0">
      <text>
        <t>Loan: Peoples Bank (M&amp;T), Closing = Opening - Principal</t>
      </text>
    </comment>
    <comment ref="C134" authorId="0" shapeId="0">
      <text>
        <t>Loan: Peoples Bank (M&amp;T), Opening = Prior Closing</t>
      </text>
    </comment>
    <comment ref="D134" authorId="0" shapeId="0">
      <text>
        <t>Loan: Peoples Bank (M&amp;T), Interest = Opening * Rate / 12</t>
      </text>
    </comment>
    <comment ref="E134" authorId="0" shapeId="0">
      <text>
        <t>Loan: Peoples Bank (M&amp;T), Principal = MIN(Opening, Payment - Interest)</t>
      </text>
    </comment>
    <comment ref="F134" authorId="0" shapeId="0">
      <text>
        <t>Loan: Peoples Bank (M&amp;T), Payment = Interest + Principal</t>
      </text>
    </comment>
    <comment ref="G134" authorId="0" shapeId="0">
      <text>
        <t>Loan: Peoples Bank (M&amp;T), Closing = Opening - Principal</t>
      </text>
    </comment>
    <comment ref="C135" authorId="0" shapeId="0">
      <text>
        <t>Loan: Peoples Bank (M&amp;T), Opening = Prior Closing</t>
      </text>
    </comment>
    <comment ref="D135" authorId="0" shapeId="0">
      <text>
        <t>Loan: Peoples Bank (M&amp;T), Interest = Opening * Rate / 12</t>
      </text>
    </comment>
    <comment ref="E135" authorId="0" shapeId="0">
      <text>
        <t>Loan: Peoples Bank (M&amp;T), Principal = MIN(Opening, Payment - Interest)</t>
      </text>
    </comment>
    <comment ref="F135" authorId="0" shapeId="0">
      <text>
        <t>Loan: Peoples Bank (M&amp;T), Payment = Interest + Principal</t>
      </text>
    </comment>
    <comment ref="G135" authorId="0" shapeId="0">
      <text>
        <t>Loan: Peoples Bank (M&amp;T), Closing = Opening - Principal</t>
      </text>
    </comment>
    <comment ref="C136" authorId="0" shapeId="0">
      <text>
        <t>Loan: Peoples Bank (M&amp;T), Opening = Prior Closing</t>
      </text>
    </comment>
    <comment ref="D136" authorId="0" shapeId="0">
      <text>
        <t>Loan: Peoples Bank (M&amp;T), Interest = Opening * Rate / 12</t>
      </text>
    </comment>
    <comment ref="E136" authorId="0" shapeId="0">
      <text>
        <t>Loan: Peoples Bank (M&amp;T), Principal = MIN(Opening, Payment - Interest)</t>
      </text>
    </comment>
    <comment ref="F136" authorId="0" shapeId="0">
      <text>
        <t>Loan: Peoples Bank (M&amp;T), Payment = Interest + Principal</t>
      </text>
    </comment>
    <comment ref="G136" authorId="0" shapeId="0">
      <text>
        <t>Loan: Peoples Bank (M&amp;T), Closing = Opening - Principal</t>
      </text>
    </comment>
    <comment ref="C137" authorId="0" shapeId="0">
      <text>
        <t>Loan: Peoples Bank (M&amp;T), Opening = Prior Closing</t>
      </text>
    </comment>
    <comment ref="D137" authorId="0" shapeId="0">
      <text>
        <t>Loan: Peoples Bank (M&amp;T), Interest = Opening * Rate / 12</t>
      </text>
    </comment>
    <comment ref="E137" authorId="0" shapeId="0">
      <text>
        <t>Loan: Peoples Bank (M&amp;T), Principal = MIN(Opening, Payment - Interest)</t>
      </text>
    </comment>
    <comment ref="F137" authorId="0" shapeId="0">
      <text>
        <t>Loan: Peoples Bank (M&amp;T), Payment = Interest + Principal</t>
      </text>
    </comment>
    <comment ref="G137" authorId="0" shapeId="0">
      <text>
        <t>Loan: Peoples Bank (M&amp;T), Closing = Opening - Principal</t>
      </text>
    </comment>
    <comment ref="C138" authorId="0" shapeId="0">
      <text>
        <t>Loan: Peoples Bank (M&amp;T), Opening = Prior Closing</t>
      </text>
    </comment>
    <comment ref="D138" authorId="0" shapeId="0">
      <text>
        <t>Loan: Peoples Bank (M&amp;T), Interest = Opening * Rate / 12</t>
      </text>
    </comment>
    <comment ref="E138" authorId="0" shapeId="0">
      <text>
        <t>Loan: Peoples Bank (M&amp;T), Principal = MIN(Opening, Payment - Interest)</t>
      </text>
    </comment>
    <comment ref="F138" authorId="0" shapeId="0">
      <text>
        <t>Loan: Peoples Bank (M&amp;T), Payment = Interest + Principal</t>
      </text>
    </comment>
    <comment ref="G138" authorId="0" shapeId="0">
      <text>
        <t>Loan: Peoples Bank (M&amp;T), Closing = Opening - Principal</t>
      </text>
    </comment>
    <comment ref="C139" authorId="0" shapeId="0">
      <text>
        <t>Loan: Peoples Bank (M&amp;T), Opening = Prior Closing</t>
      </text>
    </comment>
    <comment ref="D139" authorId="0" shapeId="0">
      <text>
        <t>Loan: Peoples Bank (M&amp;T), Interest = Opening * Rate / 12</t>
      </text>
    </comment>
    <comment ref="E139" authorId="0" shapeId="0">
      <text>
        <t>Loan: Peoples Bank (M&amp;T), Principal = MIN(Opening, Payment - Interest)</t>
      </text>
    </comment>
    <comment ref="F139" authorId="0" shapeId="0">
      <text>
        <t>Loan: Peoples Bank (M&amp;T), Payment = Interest + Principal</t>
      </text>
    </comment>
    <comment ref="G139" authorId="0" shapeId="0">
      <text>
        <t>Loan: Peoples Bank (M&amp;T), Closing = Opening - Principal</t>
      </text>
    </comment>
    <comment ref="C140" authorId="0" shapeId="0">
      <text>
        <t>Loan: Peoples Bank (M&amp;T), Opening = Prior Closing</t>
      </text>
    </comment>
    <comment ref="D140" authorId="0" shapeId="0">
      <text>
        <t>Loan: Peoples Bank (M&amp;T), Interest = Opening * Rate / 12</t>
      </text>
    </comment>
    <comment ref="E140" authorId="0" shapeId="0">
      <text>
        <t>Loan: Peoples Bank (M&amp;T), Principal = MIN(Opening, Payment - Interest)</t>
      </text>
    </comment>
    <comment ref="F140" authorId="0" shapeId="0">
      <text>
        <t>Loan: Peoples Bank (M&amp;T), Payment = Interest + Principal</t>
      </text>
    </comment>
    <comment ref="G140" authorId="0" shapeId="0">
      <text>
        <t>Loan: Peoples Bank (M&amp;T), Closing = Opening - Principal</t>
      </text>
    </comment>
    <comment ref="C141" authorId="0" shapeId="0">
      <text>
        <t>Loan: Peoples Bank (M&amp;T), Opening = Prior Closing</t>
      </text>
    </comment>
    <comment ref="D141" authorId="0" shapeId="0">
      <text>
        <t>Loan: Peoples Bank (M&amp;T), Interest = Opening * Rate / 12</t>
      </text>
    </comment>
    <comment ref="E141" authorId="0" shapeId="0">
      <text>
        <t>Loan: Peoples Bank (M&amp;T), Principal = MIN(Opening, Payment - Interest)</t>
      </text>
    </comment>
    <comment ref="F141" authorId="0" shapeId="0">
      <text>
        <t>Loan: Peoples Bank (M&amp;T), Payment = Interest + Principal</t>
      </text>
    </comment>
    <comment ref="G141" authorId="0" shapeId="0">
      <text>
        <t>Loan: Peoples Bank (M&amp;T), Closing = Opening - Principal</t>
      </text>
    </comment>
    <comment ref="C142" authorId="0" shapeId="0">
      <text>
        <t>Loan: Peoples Bank (M&amp;T), Opening = Prior Closing</t>
      </text>
    </comment>
    <comment ref="D142" authorId="0" shapeId="0">
      <text>
        <t>Loan: Peoples Bank (M&amp;T), Interest = Opening * Rate / 12</t>
      </text>
    </comment>
    <comment ref="E142" authorId="0" shapeId="0">
      <text>
        <t>Loan: Peoples Bank (M&amp;T), Principal = MIN(Opening, Payment - Interest)</t>
      </text>
    </comment>
    <comment ref="F142" authorId="0" shapeId="0">
      <text>
        <t>Loan: Peoples Bank (M&amp;T), Payment = Interest + Principal</t>
      </text>
    </comment>
    <comment ref="G142" authorId="0" shapeId="0">
      <text>
        <t>Loan: Peoples Bank (M&amp;T), Closing = Opening - Principal</t>
      </text>
    </comment>
    <comment ref="C143" authorId="0" shapeId="0">
      <text>
        <t>Loan: Peoples Bank (M&amp;T), Opening = Prior Closing</t>
      </text>
    </comment>
    <comment ref="D143" authorId="0" shapeId="0">
      <text>
        <t>Loan: Peoples Bank (M&amp;T), Interest = Opening * Rate / 12</t>
      </text>
    </comment>
    <comment ref="E143" authorId="0" shapeId="0">
      <text>
        <t>Loan: Peoples Bank (M&amp;T), Principal = MIN(Opening, Payment - Interest)</t>
      </text>
    </comment>
    <comment ref="F143" authorId="0" shapeId="0">
      <text>
        <t>Loan: Peoples Bank (M&amp;T), Payment = Interest + Principal</t>
      </text>
    </comment>
    <comment ref="G143" authorId="0" shapeId="0">
      <text>
        <t>Loan: Peoples Bank (M&amp;T), Closing = Opening - Principal</t>
      </text>
    </comment>
    <comment ref="C144" authorId="0" shapeId="0">
      <text>
        <t>Loan: Peoples Bank (M&amp;T), Opening = Prior Closing</t>
      </text>
    </comment>
    <comment ref="D144" authorId="0" shapeId="0">
      <text>
        <t>Loan: Peoples Bank (M&amp;T), Interest = Opening * Rate / 12</t>
      </text>
    </comment>
    <comment ref="E144" authorId="0" shapeId="0">
      <text>
        <t>Loan: Peoples Bank (M&amp;T), Principal = MIN(Opening, Payment - Interest)</t>
      </text>
    </comment>
    <comment ref="F144" authorId="0" shapeId="0">
      <text>
        <t>Loan: Peoples Bank (M&amp;T), Payment = Interest + Principal</t>
      </text>
    </comment>
    <comment ref="G144" authorId="0" shapeId="0">
      <text>
        <t>Loan: Peoples Bank (M&amp;T), Closing = Opening - Principal</t>
      </text>
    </comment>
    <comment ref="C145" authorId="0" shapeId="0">
      <text>
        <t>Loan: Peoples Bank (M&amp;T), Opening = Prior Closing</t>
      </text>
    </comment>
    <comment ref="D145" authorId="0" shapeId="0">
      <text>
        <t>Loan: Peoples Bank (M&amp;T), Interest = Opening * Rate / 12</t>
      </text>
    </comment>
    <comment ref="E145" authorId="0" shapeId="0">
      <text>
        <t>Loan: Peoples Bank (M&amp;T), Principal = MIN(Opening, Payment - Interest)</t>
      </text>
    </comment>
    <comment ref="F145" authorId="0" shapeId="0">
      <text>
        <t>Loan: Peoples Bank (M&amp;T), Payment = Interest + Principal</t>
      </text>
    </comment>
    <comment ref="G145" authorId="0" shapeId="0">
      <text>
        <t>Loan: Peoples Bank (M&amp;T), Closing = Opening - Principal</t>
      </text>
    </comment>
    <comment ref="C146" authorId="0" shapeId="0">
      <text>
        <t>Loan: Peoples Bank (M&amp;T), Opening = Prior Closing</t>
      </text>
    </comment>
    <comment ref="D146" authorId="0" shapeId="0">
      <text>
        <t>Loan: Peoples Bank (M&amp;T), Interest = Opening * Rate / 12</t>
      </text>
    </comment>
    <comment ref="E146" authorId="0" shapeId="0">
      <text>
        <t>Loan: Peoples Bank (M&amp;T), Principal = MIN(Opening, Payment - Interest)</t>
      </text>
    </comment>
    <comment ref="F146" authorId="0" shapeId="0">
      <text>
        <t>Loan: Peoples Bank (M&amp;T), Payment = Interest + Principal</t>
      </text>
    </comment>
    <comment ref="G146" authorId="0" shapeId="0">
      <text>
        <t>Loan: Peoples Bank (M&amp;T), Closing = Opening - Principal</t>
      </text>
    </comment>
    <comment ref="C147" authorId="0" shapeId="0">
      <text>
        <t>Loan: Peoples Bank (M&amp;T), Opening = Prior Closing</t>
      </text>
    </comment>
    <comment ref="D147" authorId="0" shapeId="0">
      <text>
        <t>Loan: Peoples Bank (M&amp;T), Interest = Opening * Rate / 12</t>
      </text>
    </comment>
    <comment ref="E147" authorId="0" shapeId="0">
      <text>
        <t>Loan: Peoples Bank (M&amp;T), Principal = MIN(Opening, Payment - Interest)</t>
      </text>
    </comment>
    <comment ref="F147" authorId="0" shapeId="0">
      <text>
        <t>Loan: Peoples Bank (M&amp;T), Payment = Interest + Principal</t>
      </text>
    </comment>
    <comment ref="G147" authorId="0" shapeId="0">
      <text>
        <t>Loan: Peoples Bank (M&amp;T), Closing = Opening - Principal</t>
      </text>
    </comment>
    <comment ref="C148" authorId="0" shapeId="0">
      <text>
        <t>Loan: Peoples Bank (M&amp;T), Opening = Prior Closing</t>
      </text>
    </comment>
    <comment ref="D148" authorId="0" shapeId="0">
      <text>
        <t>Loan: Peoples Bank (M&amp;T), Interest = Opening * Rate / 12</t>
      </text>
    </comment>
    <comment ref="E148" authorId="0" shapeId="0">
      <text>
        <t>Loan: Peoples Bank (M&amp;T), Principal = MIN(Opening, Payment - Interest)</t>
      </text>
    </comment>
    <comment ref="F148" authorId="0" shapeId="0">
      <text>
        <t>Loan: Peoples Bank (M&amp;T), Payment = Interest + Principal</t>
      </text>
    </comment>
    <comment ref="G148" authorId="0" shapeId="0">
      <text>
        <t>Loan: Peoples Bank (M&amp;T), Closing = Opening - Principal</t>
      </text>
    </comment>
    <comment ref="C149" authorId="0" shapeId="0">
      <text>
        <t>Loan: Peoples Bank (M&amp;T), Opening = Prior Closing</t>
      </text>
    </comment>
    <comment ref="D149" authorId="0" shapeId="0">
      <text>
        <t>Loan: Peoples Bank (M&amp;T), Interest = Opening * Rate / 12</t>
      </text>
    </comment>
    <comment ref="E149" authorId="0" shapeId="0">
      <text>
        <t>Loan: Peoples Bank (M&amp;T), Principal = MIN(Opening, Payment - Interest)</t>
      </text>
    </comment>
    <comment ref="F149" authorId="0" shapeId="0">
      <text>
        <t>Loan: Peoples Bank (M&amp;T), Payment = Interest + Principal</t>
      </text>
    </comment>
    <comment ref="G149" authorId="0" shapeId="0">
      <text>
        <t>Loan: Peoples Bank (M&amp;T), Closing = Opening - Principal</t>
      </text>
    </comment>
    <comment ref="C150" authorId="0" shapeId="0">
      <text>
        <t>Loan: Peoples Bank (M&amp;T), Opening = Prior Closing</t>
      </text>
    </comment>
    <comment ref="D150" authorId="0" shapeId="0">
      <text>
        <t>Loan: Peoples Bank (M&amp;T), Interest = Opening * Rate / 12</t>
      </text>
    </comment>
    <comment ref="E150" authorId="0" shapeId="0">
      <text>
        <t>Loan: Peoples Bank (M&amp;T), Principal = MIN(Opening, Payment - Interest)</t>
      </text>
    </comment>
    <comment ref="F150" authorId="0" shapeId="0">
      <text>
        <t>Loan: Peoples Bank (M&amp;T), Payment = Interest + Principal</t>
      </text>
    </comment>
    <comment ref="G150" authorId="0" shapeId="0">
      <text>
        <t>Loan: Peoples Bank (M&amp;T), Closing = Opening - Principal</t>
      </text>
    </comment>
    <comment ref="C151" authorId="0" shapeId="0">
      <text>
        <t>Loan: Peoples Bank (M&amp;T), Opening = Prior Closing</t>
      </text>
    </comment>
    <comment ref="D151" authorId="0" shapeId="0">
      <text>
        <t>Loan: Peoples Bank (M&amp;T), Interest = Opening * Rate / 12</t>
      </text>
    </comment>
    <comment ref="E151" authorId="0" shapeId="0">
      <text>
        <t>Loan: Peoples Bank (M&amp;T), Principal = MIN(Opening, Payment - Interest)</t>
      </text>
    </comment>
    <comment ref="F151" authorId="0" shapeId="0">
      <text>
        <t>Loan: Peoples Bank (M&amp;T), Payment = Interest + Principal</t>
      </text>
    </comment>
    <comment ref="G151" authorId="0" shapeId="0">
      <text>
        <t>Loan: Peoples Bank (M&amp;T), Closing = Opening - Principal</t>
      </text>
    </comment>
    <comment ref="C152" authorId="0" shapeId="0">
      <text>
        <t>Loan: Peoples Bank (M&amp;T), Opening = Prior Closing</t>
      </text>
    </comment>
    <comment ref="D152" authorId="0" shapeId="0">
      <text>
        <t>Loan: Peoples Bank (M&amp;T), Interest = Opening * Rate / 12</t>
      </text>
    </comment>
    <comment ref="E152" authorId="0" shapeId="0">
      <text>
        <t>Loan: Peoples Bank (M&amp;T), Principal = MIN(Opening, Payment - Interest)</t>
      </text>
    </comment>
    <comment ref="F152" authorId="0" shapeId="0">
      <text>
        <t>Loan: Peoples Bank (M&amp;T), Payment = Interest + Principal</t>
      </text>
    </comment>
    <comment ref="G152" authorId="0" shapeId="0">
      <text>
        <t>Loan: Peoples Bank (M&amp;T), Closing = Opening - Principal</t>
      </text>
    </comment>
    <comment ref="C153" authorId="0" shapeId="0">
      <text>
        <t>Loan: Peoples Bank (M&amp;T), Opening = Prior Closing</t>
      </text>
    </comment>
    <comment ref="D153" authorId="0" shapeId="0">
      <text>
        <t>Loan: Peoples Bank (M&amp;T), Interest = Opening * Rate / 12</t>
      </text>
    </comment>
    <comment ref="E153" authorId="0" shapeId="0">
      <text>
        <t>Loan: Peoples Bank (M&amp;T), Principal = MIN(Opening, Payment - Interest)</t>
      </text>
    </comment>
    <comment ref="F153" authorId="0" shapeId="0">
      <text>
        <t>Loan: Peoples Bank (M&amp;T), Payment = Interest + Principal</t>
      </text>
    </comment>
    <comment ref="G153" authorId="0" shapeId="0">
      <text>
        <t>Loan: Peoples Bank (M&amp;T), Closing = Opening - Principal</t>
      </text>
    </comment>
    <comment ref="C154" authorId="0" shapeId="0">
      <text>
        <t>Loan: Peoples Bank (M&amp;T), Opening = Prior Closing</t>
      </text>
    </comment>
    <comment ref="D154" authorId="0" shapeId="0">
      <text>
        <t>Loan: Peoples Bank (M&amp;T), Interest = Opening * Rate / 12</t>
      </text>
    </comment>
    <comment ref="E154" authorId="0" shapeId="0">
      <text>
        <t>Loan: Peoples Bank (M&amp;T), Principal = MIN(Opening, Payment - Interest)</t>
      </text>
    </comment>
    <comment ref="F154" authorId="0" shapeId="0">
      <text>
        <t>Loan: Peoples Bank (M&amp;T), Payment = Interest + Principal</t>
      </text>
    </comment>
    <comment ref="G154" authorId="0" shapeId="0">
      <text>
        <t>Loan: Peoples Bank (M&amp;T), Closing = Opening - Principal</t>
      </text>
    </comment>
    <comment ref="D155" authorId="0" shapeId="0">
      <text>
        <t>Sum of rows 127-154: Total interest for Peoples Bank (M&amp;T)</t>
      </text>
    </comment>
    <comment ref="E155" authorId="0" shapeId="0">
      <text>
        <t>Sum of rows 127-154: Total principal for Peoples Bank (M&amp;T)</t>
      </text>
    </comment>
    <comment ref="F155" authorId="0" shapeId="0">
      <text>
        <t>Sum of rows 127-154: Total payments for Peoples Bank (M&amp;T)</t>
      </text>
    </comment>
  </commentList>
</comments>
</file>

<file path=xl/comments/comment14.xml><?xml version="1.0" encoding="utf-8"?>
<comments xmlns="http://schemas.openxmlformats.org/spreadsheetml/2006/main">
  <authors>
    <author>Model Builder</author>
  </authors>
  <commentList>
    <comment ref="B2" authorId="0" shapeId="0">
      <text>
        <t>Source: data/loans.md - Huntington Bank section
Extracted: 2026-05-19</t>
      </text>
    </comment>
    <comment ref="B3" authorId="0" shapeId="0">
      <text>
        <t>Source: data/loans.md - 5 individual equipment loans
Extracted: 2026-05-19</t>
      </text>
    </comment>
    <comment ref="B4" authorId="0" shapeId="0">
      <text>
        <t>Sum of opening balances from all 5 loans</t>
      </text>
    </comment>
    <comment ref="B5" authorId="0" shapeId="0">
      <text>
        <t>Sum of monthly payments from all 5 loans</t>
      </text>
    </comment>
    <comment ref="B6" authorId="0" shapeId="0">
      <text>
        <t>Source: data/loans.md header - debt schedule as of date</t>
      </text>
    </comment>
    <comment ref="B7" authorId="0" shapeId="0">
      <text>
        <t>Source: data/loans.md - MB - Debt Schedule Master tab</t>
      </text>
    </comment>
    <comment ref="B10" authorId="0" shapeId="0">
      <text>
        <t>Source: data/loans.md - Huntington Loan 1
Extracted: 2026-05-19</t>
      </text>
    </comment>
    <comment ref="B11" authorId="0" shapeId="0">
      <text>
        <t>Source: data/loans.md - Account number
Extracted: 2026-05-19</t>
      </text>
    </comment>
    <comment ref="B12" authorId="0" shapeId="0">
      <text>
        <t>Source: data/loans.md - Original loan amount at origination
Loan: Huntington Bank, 5 Sleepers (March 2022). Source: Meiborg_Debt_Schedule_202511.xlsx</t>
      </text>
    </comment>
    <comment ref="B13" authorId="0" shapeId="0">
      <text>
        <t>Source: data/loans.md - Interest rate 3.07%
Loan: Huntington Bank, 5 Sleepers (March 2022). Source: Meiborg_Debt_Schedule_202511.xlsx</t>
      </text>
    </comment>
    <comment ref="B14" authorId="0" shapeId="0">
      <text>
        <t>Driver: Calculated from origination 2022-03-03 to maturity 2027-09-03</t>
      </text>
    </comment>
    <comment ref="B15" authorId="0" shapeId="0">
      <text>
        <t>Source: data/loans.md - Monthly P&amp;I payment
Loan: Huntington Bank, 5 Sleepers (March 2022). Source: Meiborg_Debt_Schedule_202511.xlsx</t>
      </text>
    </comment>
    <comment ref="B16" authorId="0" shapeId="0">
      <text>
        <t>Loan type classification: Standard P&amp;I payments</t>
      </text>
    </comment>
    <comment ref="B17" authorId="0" shapeId="0">
      <text>
        <t>Source: data/loans.md - Equipment purpose</t>
      </text>
    </comment>
    <comment ref="B18" authorId="0" shapeId="0">
      <text>
        <t>Source: data/loans.md - Loan maturity date</t>
      </text>
    </comment>
    <comment ref="C24" authorId="0" shapeId="0">
      <text>
        <t>Loan: Huntington Bank, 5 Sleepers (March 2022). Source: Meiborg_Debt_Schedule_202511.xlsx</t>
      </text>
    </comment>
    <comment ref="D24" authorId="0" shapeId="0">
      <text>
        <t>Loan: Huntington Bank, 5 Sleepers (March 2022). Source: Meiborg_Debt_Schedule_202511.xlsx</t>
      </text>
    </comment>
    <comment ref="E24" authorId="0" shapeId="0">
      <text>
        <t>Loan: Huntington Bank, 5 Sleepers (March 2022). Source: Meiborg_Debt_Schedule_202511.xlsx</t>
      </text>
    </comment>
    <comment ref="F24" authorId="0" shapeId="0">
      <text>
        <t>Loan: Huntington Bank, 5 Sleepers (March 2022). Source: Meiborg_Debt_Schedule_202511.xlsx</t>
      </text>
    </comment>
    <comment ref="C25" authorId="0" shapeId="0">
      <text>
        <t>Loan: Huntington Bank, 5 Sleepers (March 2022). Source: Meiborg_Debt_Schedule_202511.xlsx</t>
      </text>
    </comment>
    <comment ref="D25" authorId="0" shapeId="0">
      <text>
        <t>Loan: Huntington Bank, 5 Sleepers (March 2022). Source: Meiborg_Debt_Schedule_202511.xlsx</t>
      </text>
    </comment>
    <comment ref="E25" authorId="0" shapeId="0">
      <text>
        <t>Loan: Huntington Bank, 5 Sleepers (March 2022). Source: Meiborg_Debt_Schedule_202511.xlsx</t>
      </text>
    </comment>
    <comment ref="F25" authorId="0" shapeId="0">
      <text>
        <t>Loan: Huntington Bank, 5 Sleepers (March 2022). Source: Meiborg_Debt_Schedule_202511.xlsx</t>
      </text>
    </comment>
    <comment ref="C26" authorId="0" shapeId="0">
      <text>
        <t>Loan: Huntington Bank, 5 Sleepers (March 2022). Source: Meiborg_Debt_Schedule_202511.xlsx</t>
      </text>
    </comment>
    <comment ref="D26" authorId="0" shapeId="0">
      <text>
        <t>Loan: Huntington Bank, 5 Sleepers (March 2022). Source: Meiborg_Debt_Schedule_202511.xlsx</t>
      </text>
    </comment>
    <comment ref="E26" authorId="0" shapeId="0">
      <text>
        <t>Loan: Huntington Bank, 5 Sleepers (March 2022). Source: Meiborg_Debt_Schedule_202511.xlsx</t>
      </text>
    </comment>
    <comment ref="F26" authorId="0" shapeId="0">
      <text>
        <t>Loan: Huntington Bank, 5 Sleepers (March 2022). Source: Meiborg_Debt_Schedule_202511.xlsx</t>
      </text>
    </comment>
    <comment ref="C27" authorId="0" shapeId="0">
      <text>
        <t>Loan: Huntington Bank, 5 Sleepers (March 2022). Source: Meiborg_Debt_Schedule_202511.xlsx</t>
      </text>
    </comment>
    <comment ref="D27" authorId="0" shapeId="0">
      <text>
        <t>Loan: Huntington Bank, 5 Sleepers (March 2022). Source: Meiborg_Debt_Schedule_202511.xlsx</t>
      </text>
    </comment>
    <comment ref="E27" authorId="0" shapeId="0">
      <text>
        <t>Loan: Huntington Bank, 5 Sleepers (March 2022). Source: Meiborg_Debt_Schedule_202511.xlsx</t>
      </text>
    </comment>
    <comment ref="F27" authorId="0" shapeId="0">
      <text>
        <t>Loan: Huntington Bank, 5 Sleepers (March 2022). Source: Meiborg_Debt_Schedule_202511.xlsx</t>
      </text>
    </comment>
    <comment ref="C28" authorId="0" shapeId="0">
      <text>
        <t>Loan: Huntington Bank, 5 Sleepers (March 2022). Source: Meiborg_Debt_Schedule_202511.xlsx</t>
      </text>
    </comment>
    <comment ref="D28" authorId="0" shapeId="0">
      <text>
        <t>Loan: Huntington Bank, 5 Sleepers (March 2022). Source: Meiborg_Debt_Schedule_202511.xlsx</t>
      </text>
    </comment>
    <comment ref="E28" authorId="0" shapeId="0">
      <text>
        <t>Loan: Huntington Bank, 5 Sleepers (March 2022). Source: Meiborg_Debt_Schedule_202511.xlsx</t>
      </text>
    </comment>
    <comment ref="F28" authorId="0" shapeId="0">
      <text>
        <t>Loan: Huntington Bank, 5 Sleepers (March 2022). Source: Meiborg_Debt_Schedule_202511.xlsx</t>
      </text>
    </comment>
    <comment ref="C29" authorId="0" shapeId="0">
      <text>
        <t>Loan: Huntington Bank, 5 Sleepers (March 2022). Source: Meiborg_Debt_Schedule_202511.xlsx</t>
      </text>
    </comment>
    <comment ref="D29" authorId="0" shapeId="0">
      <text>
        <t>Loan: Huntington Bank, 5 Sleepers (March 2022). Source: Meiborg_Debt_Schedule_202511.xlsx</t>
      </text>
    </comment>
    <comment ref="E29" authorId="0" shapeId="0">
      <text>
        <t>Loan: Huntington Bank, 5 Sleepers (March 2022). Source: Meiborg_Debt_Schedule_202511.xlsx</t>
      </text>
    </comment>
    <comment ref="F29" authorId="0" shapeId="0">
      <text>
        <t>Loan: Huntington Bank, 5 Sleepers (March 2022). Source: Meiborg_Debt_Schedule_202511.xlsx</t>
      </text>
    </comment>
    <comment ref="C30" authorId="0" shapeId="0">
      <text>
        <t>Loan: Huntington Bank, 5 Sleepers (March 2022). Source: Meiborg_Debt_Schedule_202511.xlsx</t>
      </text>
    </comment>
    <comment ref="D30" authorId="0" shapeId="0">
      <text>
        <t>Loan: Huntington Bank, 5 Sleepers (March 2022). Source: Meiborg_Debt_Schedule_202511.xlsx</t>
      </text>
    </comment>
    <comment ref="E30" authorId="0" shapeId="0">
      <text>
        <t>Loan: Huntington Bank, 5 Sleepers (March 2022). Source: Meiborg_Debt_Schedule_202511.xlsx</t>
      </text>
    </comment>
    <comment ref="F30" authorId="0" shapeId="0">
      <text>
        <t>Loan: Huntington Bank, 5 Sleepers (March 2022). Source: Meiborg_Debt_Schedule_202511.xlsx</t>
      </text>
    </comment>
    <comment ref="C31" authorId="0" shapeId="0">
      <text>
        <t>Loan: Huntington Bank, 5 Sleepers (March 2022). Source: Meiborg_Debt_Schedule_202511.xlsx</t>
      </text>
    </comment>
    <comment ref="D31" authorId="0" shapeId="0">
      <text>
        <t>Loan: Huntington Bank, 5 Sleepers (March 2022). Source: Meiborg_Debt_Schedule_202511.xlsx</t>
      </text>
    </comment>
    <comment ref="E31" authorId="0" shapeId="0">
      <text>
        <t>Loan: Huntington Bank, 5 Sleepers (March 2022). Source: Meiborg_Debt_Schedule_202511.xlsx</t>
      </text>
    </comment>
    <comment ref="F31" authorId="0" shapeId="0">
      <text>
        <t>Loan: Huntington Bank, 5 Sleepers (March 2022). Source: Meiborg_Debt_Schedule_202511.xlsx</t>
      </text>
    </comment>
    <comment ref="C32" authorId="0" shapeId="0">
      <text>
        <t>Loan: Huntington Bank, 5 Sleepers (March 2022). Source: Meiborg_Debt_Schedule_202511.xlsx</t>
      </text>
    </comment>
    <comment ref="D32" authorId="0" shapeId="0">
      <text>
        <t>Loan: Huntington Bank, 5 Sleepers (March 2022). Source: Meiborg_Debt_Schedule_202511.xlsx</t>
      </text>
    </comment>
    <comment ref="E32" authorId="0" shapeId="0">
      <text>
        <t>Loan: Huntington Bank, 5 Sleepers (March 2022). Source: Meiborg_Debt_Schedule_202511.xlsx</t>
      </text>
    </comment>
    <comment ref="F32" authorId="0" shapeId="0">
      <text>
        <t>Loan: Huntington Bank, 5 Sleepers (March 2022). Source: Meiborg_Debt_Schedule_202511.xlsx</t>
      </text>
    </comment>
    <comment ref="C33" authorId="0" shapeId="0">
      <text>
        <t>Loan: Huntington Bank, 5 Sleepers (March 2022). Source: Meiborg_Debt_Schedule_202511.xlsx</t>
      </text>
    </comment>
    <comment ref="D33" authorId="0" shapeId="0">
      <text>
        <t>Loan: Huntington Bank, 5 Sleepers (March 2022). Source: Meiborg_Debt_Schedule_202511.xlsx</t>
      </text>
    </comment>
    <comment ref="E33" authorId="0" shapeId="0">
      <text>
        <t>Loan: Huntington Bank, 5 Sleepers (March 2022). Source: Meiborg_Debt_Schedule_202511.xlsx</t>
      </text>
    </comment>
    <comment ref="F33" authorId="0" shapeId="0">
      <text>
        <t>Loan: Huntington Bank, 5 Sleepers (March 2022). Source: Meiborg_Debt_Schedule_202511.xlsx</t>
      </text>
    </comment>
    <comment ref="C34" authorId="0" shapeId="0">
      <text>
        <t>Loan: Huntington Bank, 5 Sleepers (March 2022). Source: Meiborg_Debt_Schedule_202511.xlsx</t>
      </text>
    </comment>
    <comment ref="D34" authorId="0" shapeId="0">
      <text>
        <t>Loan: Huntington Bank, 5 Sleepers (March 2022). Source: Meiborg_Debt_Schedule_202511.xlsx</t>
      </text>
    </comment>
    <comment ref="E34" authorId="0" shapeId="0">
      <text>
        <t>Loan: Huntington Bank, 5 Sleepers (March 2022). Source: Meiborg_Debt_Schedule_202511.xlsx</t>
      </text>
    </comment>
    <comment ref="F34" authorId="0" shapeId="0">
      <text>
        <t>Loan: Huntington Bank, 5 Sleepers (March 2022). Source: Meiborg_Debt_Schedule_202511.xlsx</t>
      </text>
    </comment>
    <comment ref="C35" authorId="0" shapeId="0">
      <text>
        <t>Loan: Huntington Bank, 5 Sleepers (March 2022). Source: Meiborg_Debt_Schedule_202511.xlsx</t>
      </text>
    </comment>
    <comment ref="D35" authorId="0" shapeId="0">
      <text>
        <t>Loan: Huntington Bank, 5 Sleepers (March 2022). Source: Meiborg_Debt_Schedule_202511.xlsx</t>
      </text>
    </comment>
    <comment ref="E35" authorId="0" shapeId="0">
      <text>
        <t>Loan: Huntington Bank, 5 Sleepers (March 2022). Source: Meiborg_Debt_Schedule_202511.xlsx</t>
      </text>
    </comment>
    <comment ref="F35" authorId="0" shapeId="0">
      <text>
        <t>Loan: Huntington Bank, 5 Sleepers (March 2022). Source: Meiborg_Debt_Schedule_202511.xlsx</t>
      </text>
    </comment>
    <comment ref="C36" authorId="0" shapeId="0">
      <text>
        <t>Loan: Huntington Bank, 5 Sleepers (March 2022). Source: Meiborg_Debt_Schedule_202511.xlsx</t>
      </text>
    </comment>
    <comment ref="D36" authorId="0" shapeId="0">
      <text>
        <t>Loan: Huntington Bank, 5 Sleepers (March 2022). Source: Meiborg_Debt_Schedule_202511.xlsx</t>
      </text>
    </comment>
    <comment ref="E36" authorId="0" shapeId="0">
      <text>
        <t>Loan: Huntington Bank, 5 Sleepers (March 2022). Source: Meiborg_Debt_Schedule_202511.xlsx</t>
      </text>
    </comment>
    <comment ref="F36" authorId="0" shapeId="0">
      <text>
        <t>Loan: Huntington Bank, 5 Sleepers (March 2022). Source: Meiborg_Debt_Schedule_202511.xlsx</t>
      </text>
    </comment>
    <comment ref="C37" authorId="0" shapeId="0">
      <text>
        <t>Loan: Huntington Bank, 5 Sleepers (March 2022). Source: Meiborg_Debt_Schedule_202511.xlsx</t>
      </text>
    </comment>
    <comment ref="D37" authorId="0" shapeId="0">
      <text>
        <t>Loan: Huntington Bank, 5 Sleepers (March 2022). Source: Meiborg_Debt_Schedule_202511.xlsx</t>
      </text>
    </comment>
    <comment ref="E37" authorId="0" shapeId="0">
      <text>
        <t>Loan: Huntington Bank, 5 Sleepers (March 2022). Source: Meiborg_Debt_Schedule_202511.xlsx</t>
      </text>
    </comment>
    <comment ref="F37" authorId="0" shapeId="0">
      <text>
        <t>Loan: Huntington Bank, 5 Sleepers (March 2022). Source: Meiborg_Debt_Schedule_202511.xlsx</t>
      </text>
    </comment>
    <comment ref="C38" authorId="0" shapeId="0">
      <text>
        <t>Loan: Huntington Bank, 5 Sleepers (March 2022). Source: Meiborg_Debt_Schedule_202511.xlsx</t>
      </text>
    </comment>
    <comment ref="D38" authorId="0" shapeId="0">
      <text>
        <t>Loan: Huntington Bank, 5 Sleepers (March 2022). Source: Meiborg_Debt_Schedule_202511.xlsx</t>
      </text>
    </comment>
    <comment ref="E38" authorId="0" shapeId="0">
      <text>
        <t>Loan: Huntington Bank, 5 Sleepers (March 2022). Source: Meiborg_Debt_Schedule_202511.xlsx</t>
      </text>
    </comment>
    <comment ref="F38" authorId="0" shapeId="0">
      <text>
        <t>Loan: Huntington Bank, 5 Sleepers (March 2022). Source: Meiborg_Debt_Schedule_202511.xlsx</t>
      </text>
    </comment>
    <comment ref="C39" authorId="0" shapeId="0">
      <text>
        <t>Loan: Huntington Bank, 5 Sleepers (March 2022). Source: Meiborg_Debt_Schedule_202511.xlsx</t>
      </text>
    </comment>
    <comment ref="D39" authorId="0" shapeId="0">
      <text>
        <t>Loan: Huntington Bank, 5 Sleepers (March 2022). Source: Meiborg_Debt_Schedule_202511.xlsx</t>
      </text>
    </comment>
    <comment ref="E39" authorId="0" shapeId="0">
      <text>
        <t>Loan: Huntington Bank, 5 Sleepers (March 2022). Source: Meiborg_Debt_Schedule_202511.xlsx</t>
      </text>
    </comment>
    <comment ref="F39" authorId="0" shapeId="0">
      <text>
        <t>Loan: Huntington Bank, 5 Sleepers (March 2022). Source: Meiborg_Debt_Schedule_202511.xlsx</t>
      </text>
    </comment>
    <comment ref="C40" authorId="0" shapeId="0">
      <text>
        <t>Loan: Huntington Bank, 5 Sleepers (March 2022). Source: Meiborg_Debt_Schedule_202511.xlsx</t>
      </text>
    </comment>
    <comment ref="D40" authorId="0" shapeId="0">
      <text>
        <t>Loan: Huntington Bank, 5 Sleepers (March 2022). Source: Meiborg_Debt_Schedule_202511.xlsx</t>
      </text>
    </comment>
    <comment ref="E40" authorId="0" shapeId="0">
      <text>
        <t>Loan: Huntington Bank, 5 Sleepers (March 2022). Source: Meiborg_Debt_Schedule_202511.xlsx</t>
      </text>
    </comment>
    <comment ref="F40" authorId="0" shapeId="0">
      <text>
        <t>Loan: Huntington Bank, 5 Sleepers (March 2022). Source: Meiborg_Debt_Schedule_202511.xlsx</t>
      </text>
    </comment>
    <comment ref="C41" authorId="0" shapeId="0">
      <text>
        <t>Loan: Huntington Bank, 5 Sleepers (March 2022). Source: Meiborg_Debt_Schedule_202511.xlsx</t>
      </text>
    </comment>
    <comment ref="D41" authorId="0" shapeId="0">
      <text>
        <t>Loan: Huntington Bank, 5 Sleepers (March 2022). Source: Meiborg_Debt_Schedule_202511.xlsx</t>
      </text>
    </comment>
    <comment ref="E41" authorId="0" shapeId="0">
      <text>
        <t>Loan: Huntington Bank, 5 Sleepers (March 2022). Source: Meiborg_Debt_Schedule_202511.xlsx</t>
      </text>
    </comment>
    <comment ref="F41" authorId="0" shapeId="0">
      <text>
        <t>Loan: Huntington Bank, 5 Sleepers (March 2022). Source: Meiborg_Debt_Schedule_202511.xlsx</t>
      </text>
    </comment>
    <comment ref="C42" authorId="0" shapeId="0">
      <text>
        <t>Loan: Huntington Bank, 5 Sleepers (March 2022). Source: Meiborg_Debt_Schedule_202511.xlsx</t>
      </text>
    </comment>
    <comment ref="D42" authorId="0" shapeId="0">
      <text>
        <t>Loan: Huntington Bank, 5 Sleepers (March 2022). Source: Meiborg_Debt_Schedule_202511.xlsx</t>
      </text>
    </comment>
    <comment ref="E42" authorId="0" shapeId="0">
      <text>
        <t>Loan: Huntington Bank, 5 Sleepers (March 2022). Source: Meiborg_Debt_Schedule_202511.xlsx</t>
      </text>
    </comment>
    <comment ref="F42" authorId="0" shapeId="0">
      <text>
        <t>Loan: Huntington Bank, 5 Sleepers (March 2022). Source: Meiborg_Debt_Schedule_202511.xlsx</t>
      </text>
    </comment>
    <comment ref="C43" authorId="0" shapeId="0">
      <text>
        <t>Loan: Huntington Bank, 5 Sleepers (March 2022). Source: Meiborg_Debt_Schedule_202511.xlsx</t>
      </text>
    </comment>
    <comment ref="D43" authorId="0" shapeId="0">
      <text>
        <t>Loan: Huntington Bank, 5 Sleepers (March 2022). Source: Meiborg_Debt_Schedule_202511.xlsx</t>
      </text>
    </comment>
    <comment ref="E43" authorId="0" shapeId="0">
      <text>
        <t>Loan: Huntington Bank, 5 Sleepers (March 2022). Source: Meiborg_Debt_Schedule_202511.xlsx</t>
      </text>
    </comment>
    <comment ref="F43" authorId="0" shapeId="0">
      <text>
        <t>Loan: Huntington Bank, 5 Sleepers (March 2022). Source: Meiborg_Debt_Schedule_202511.xlsx</t>
      </text>
    </comment>
    <comment ref="C44" authorId="0" shapeId="0">
      <text>
        <t>Loan: Huntington Bank, 5 Sleepers (March 2022). Source: Meiborg_Debt_Schedule_202511.xlsx</t>
      </text>
    </comment>
    <comment ref="D44" authorId="0" shapeId="0">
      <text>
        <t>Loan: Huntington Bank, 5 Sleepers (March 2022). Source: Meiborg_Debt_Schedule_202511.xlsx</t>
      </text>
    </comment>
    <comment ref="E44" authorId="0" shapeId="0">
      <text>
        <t>Loan: Huntington Bank, 5 Sleepers (March 2022). Source: Meiborg_Debt_Schedule_202511.xlsx</t>
      </text>
    </comment>
    <comment ref="F44" authorId="0" shapeId="0">
      <text>
        <t>Loan: Huntington Bank, 5 Sleepers (March 2022). Source: Meiborg_Debt_Schedule_202511.xlsx</t>
      </text>
    </comment>
    <comment ref="C45" authorId="0" shapeId="0">
      <text>
        <t>Loan: Huntington Bank, 5 Sleepers (March 2022). Source: Meiborg_Debt_Schedule_202511.xlsx</t>
      </text>
    </comment>
    <comment ref="D45" authorId="0" shapeId="0">
      <text>
        <t>Loan: Huntington Bank, 5 Sleepers (March 2022). Source: Meiborg_Debt_Schedule_202511.xlsx</t>
      </text>
    </comment>
    <comment ref="E45" authorId="0" shapeId="0">
      <text>
        <t>Loan: Huntington Bank, 5 Sleepers (March 2022). Source: Meiborg_Debt_Schedule_202511.xlsx</t>
      </text>
    </comment>
    <comment ref="F45" authorId="0" shapeId="0">
      <text>
        <t>Loan: Huntington Bank, 5 Sleepers (March 2022). Source: Meiborg_Debt_Schedule_202511.xlsx</t>
      </text>
    </comment>
    <comment ref="C46" authorId="0" shapeId="0">
      <text>
        <t>Loan: Huntington Bank, 5 Sleepers (March 2022). Source: Meiborg_Debt_Schedule_202511.xlsx</t>
      </text>
    </comment>
    <comment ref="D46" authorId="0" shapeId="0">
      <text>
        <t>Loan: Huntington Bank, 5 Sleepers (March 2022). Source: Meiborg_Debt_Schedule_202511.xlsx</t>
      </text>
    </comment>
    <comment ref="E46" authorId="0" shapeId="0">
      <text>
        <t>Loan: Huntington Bank, 5 Sleepers (March 2022). Source: Meiborg_Debt_Schedule_202511.xlsx</t>
      </text>
    </comment>
    <comment ref="F46" authorId="0" shapeId="0">
      <text>
        <t>Loan: Huntington Bank, 5 Sleepers (March 2022). Source: Meiborg_Debt_Schedule_202511.xlsx</t>
      </text>
    </comment>
    <comment ref="C47" authorId="0" shapeId="0">
      <text>
        <t>Loan: Huntington Bank, 5 Sleepers (March 2022). Source: Meiborg_Debt_Schedule_202511.xlsx</t>
      </text>
    </comment>
    <comment ref="D47" authorId="0" shapeId="0">
      <text>
        <t>Loan: Huntington Bank, 5 Sleepers (March 2022). Source: Meiborg_Debt_Schedule_202511.xlsx</t>
      </text>
    </comment>
    <comment ref="E47" authorId="0" shapeId="0">
      <text>
        <t>Loan: Huntington Bank, 5 Sleepers (March 2022). Source: Meiborg_Debt_Schedule_202511.xlsx</t>
      </text>
    </comment>
    <comment ref="F47" authorId="0" shapeId="0">
      <text>
        <t>Loan: Huntington Bank, 5 Sleepers (March 2022). Source: Meiborg_Debt_Schedule_202511.xlsx</t>
      </text>
    </comment>
    <comment ref="C48" authorId="0" shapeId="0">
      <text>
        <t>Loan: Huntington Bank, 5 Sleepers (March 2022). Source: Meiborg_Debt_Schedule_202511.xlsx</t>
      </text>
    </comment>
    <comment ref="D48" authorId="0" shapeId="0">
      <text>
        <t>Loan: Huntington Bank, 5 Sleepers (March 2022). Source: Meiborg_Debt_Schedule_202511.xlsx</t>
      </text>
    </comment>
    <comment ref="E48" authorId="0" shapeId="0">
      <text>
        <t>Loan: Huntington Bank, 5 Sleepers (March 2022). Source: Meiborg_Debt_Schedule_202511.xlsx</t>
      </text>
    </comment>
    <comment ref="F48" authorId="0" shapeId="0">
      <text>
        <t>Loan: Huntington Bank, 5 Sleepers (March 2022). Source: Meiborg_Debt_Schedule_202511.xlsx</t>
      </text>
    </comment>
    <comment ref="C49" authorId="0" shapeId="0">
      <text>
        <t>Loan: Huntington Bank, 5 Sleepers (March 2022). Source: Meiborg_Debt_Schedule_202511.xlsx</t>
      </text>
    </comment>
    <comment ref="D49" authorId="0" shapeId="0">
      <text>
        <t>Loan: Huntington Bank, 5 Sleepers (March 2022). Source: Meiborg_Debt_Schedule_202511.xlsx</t>
      </text>
    </comment>
    <comment ref="E49" authorId="0" shapeId="0">
      <text>
        <t>Loan: Huntington Bank, 5 Sleepers (March 2022). Source: Meiborg_Debt_Schedule_202511.xlsx</t>
      </text>
    </comment>
    <comment ref="F49" authorId="0" shapeId="0">
      <text>
        <t>Loan: Huntington Bank, 5 Sleepers (March 2022). Source: Meiborg_Debt_Schedule_202511.xlsx</t>
      </text>
    </comment>
    <comment ref="C50" authorId="0" shapeId="0">
      <text>
        <t>Loan: Huntington Bank, 5 Sleepers (March 2022). Source: Meiborg_Debt_Schedule_202511.xlsx</t>
      </text>
    </comment>
    <comment ref="D50" authorId="0" shapeId="0">
      <text>
        <t>Loan: Huntington Bank, 5 Sleepers (March 2022). Source: Meiborg_Debt_Schedule_202511.xlsx</t>
      </text>
    </comment>
    <comment ref="E50" authorId="0" shapeId="0">
      <text>
        <t>Loan: Huntington Bank, 5 Sleepers (March 2022). Source: Meiborg_Debt_Schedule_202511.xlsx</t>
      </text>
    </comment>
    <comment ref="F50" authorId="0" shapeId="0">
      <text>
        <t>Loan: Huntington Bank, 5 Sleepers (March 2022). Source: Meiborg_Debt_Schedule_202511.xlsx</t>
      </text>
    </comment>
    <comment ref="C51" authorId="0" shapeId="0">
      <text>
        <t>Loan: Huntington Bank, 5 Sleepers (March 2022). Source: Meiborg_Debt_Schedule_202511.xlsx</t>
      </text>
    </comment>
    <comment ref="D51" authorId="0" shapeId="0">
      <text>
        <t>Loan: Huntington Bank, 5 Sleepers (March 2022). Source: Meiborg_Debt_Schedule_202511.xlsx</t>
      </text>
    </comment>
    <comment ref="E51" authorId="0" shapeId="0">
      <text>
        <t>Loan: Huntington Bank, 5 Sleepers (March 2022). Source: Meiborg_Debt_Schedule_202511.xlsx</t>
      </text>
    </comment>
    <comment ref="F51" authorId="0" shapeId="0">
      <text>
        <t>Loan: Huntington Bank, 5 Sleepers (March 2022). Source: Meiborg_Debt_Schedule_202511.xlsx</t>
      </text>
    </comment>
    <comment ref="C52" authorId="0" shapeId="0">
      <text>
        <t>Loan: Huntington Bank, 5 Sleepers (March 2022). Source: Meiborg_Debt_Schedule_202511.xlsx</t>
      </text>
    </comment>
    <comment ref="D52" authorId="0" shapeId="0">
      <text>
        <t>Loan: Huntington Bank, 5 Sleepers (March 2022). Source: Meiborg_Debt_Schedule_202511.xlsx</t>
      </text>
    </comment>
    <comment ref="E52" authorId="0" shapeId="0">
      <text>
        <t>Loan: Huntington Bank, 5 Sleepers (March 2022). Source: Meiborg_Debt_Schedule_202511.xlsx</t>
      </text>
    </comment>
    <comment ref="F52" authorId="0" shapeId="0">
      <text>
        <t>Loan: Huntington Bank, 5 Sleepers (March 2022). Source: Meiborg_Debt_Schedule_202511.xlsx</t>
      </text>
    </comment>
    <comment ref="C53" authorId="0" shapeId="0">
      <text>
        <t>Loan: Huntington Bank, 5 Sleepers (March 2022). Source: Meiborg_Debt_Schedule_202511.xlsx</t>
      </text>
    </comment>
    <comment ref="D53" authorId="0" shapeId="0">
      <text>
        <t>Loan: Huntington Bank, 5 Sleepers (March 2022). Source: Meiborg_Debt_Schedule_202511.xlsx</t>
      </text>
    </comment>
    <comment ref="E53" authorId="0" shapeId="0">
      <text>
        <t>Loan: Huntington Bank, 5 Sleepers (March 2022). Source: Meiborg_Debt_Schedule_202511.xlsx</t>
      </text>
    </comment>
    <comment ref="F53" authorId="0" shapeId="0">
      <text>
        <t>Loan: Huntington Bank, 5 Sleepers (March 2022). Source: Meiborg_Debt_Schedule_202511.xlsx</t>
      </text>
    </comment>
    <comment ref="C54" authorId="0" shapeId="0">
      <text>
        <t>Loan: Huntington Bank, 5 Sleepers (March 2022). Source: Meiborg_Debt_Schedule_202511.xlsx</t>
      </text>
    </comment>
    <comment ref="D54" authorId="0" shapeId="0">
      <text>
        <t>Loan: Huntington Bank, 5 Sleepers (March 2022). Source: Meiborg_Debt_Schedule_202511.xlsx</t>
      </text>
    </comment>
    <comment ref="E54" authorId="0" shapeId="0">
      <text>
        <t>Loan: Huntington Bank, 5 Sleepers (March 2022). Source: Meiborg_Debt_Schedule_202511.xlsx</t>
      </text>
    </comment>
    <comment ref="F54" authorId="0" shapeId="0">
      <text>
        <t>Loan: Huntington Bank, 5 Sleepers (March 2022). Source: Meiborg_Debt_Schedule_202511.xlsx</t>
      </text>
    </comment>
    <comment ref="C55" authorId="0" shapeId="0">
      <text>
        <t>Loan: Huntington Bank, 5 Sleepers (March 2022). Source: Meiborg_Debt_Schedule_202511.xlsx</t>
      </text>
    </comment>
    <comment ref="D55" authorId="0" shapeId="0">
      <text>
        <t>Loan: Huntington Bank, 5 Sleepers (March 2022). Source: Meiborg_Debt_Schedule_202511.xlsx</t>
      </text>
    </comment>
    <comment ref="E55" authorId="0" shapeId="0">
      <text>
        <t>Loan: Huntington Bank, 5 Sleepers (March 2022). Source: Meiborg_Debt_Schedule_202511.xlsx</t>
      </text>
    </comment>
    <comment ref="F55" authorId="0" shapeId="0">
      <text>
        <t>Loan: Huntington Bank, 5 Sleepers (March 2022). Source: Meiborg_Debt_Schedule_202511.xlsx</t>
      </text>
    </comment>
    <comment ref="C56" authorId="0" shapeId="0">
      <text>
        <t>Loan: Huntington Bank, 5 Sleepers (March 2022). Source: Meiborg_Debt_Schedule_202511.xlsx</t>
      </text>
    </comment>
    <comment ref="D56" authorId="0" shapeId="0">
      <text>
        <t>Loan: Huntington Bank, 5 Sleepers (March 2022). Source: Meiborg_Debt_Schedule_202511.xlsx</t>
      </text>
    </comment>
    <comment ref="E56" authorId="0" shapeId="0">
      <text>
        <t>Loan: Huntington Bank, 5 Sleepers (March 2022). Source: Meiborg_Debt_Schedule_202511.xlsx</t>
      </text>
    </comment>
    <comment ref="F56" authorId="0" shapeId="0">
      <text>
        <t>Loan: Huntington Bank, 5 Sleepers (March 2022). Source: Meiborg_Debt_Schedule_202511.xlsx</t>
      </text>
    </comment>
    <comment ref="C57" authorId="0" shapeId="0">
      <text>
        <t>Loan: Huntington Bank, 5 Sleepers (March 2022). Source: Meiborg_Debt_Schedule_202511.xlsx</t>
      </text>
    </comment>
    <comment ref="D57" authorId="0" shapeId="0">
      <text>
        <t>Loan: Huntington Bank, 5 Sleepers (March 2022). Source: Meiborg_Debt_Schedule_202511.xlsx</t>
      </text>
    </comment>
    <comment ref="E57" authorId="0" shapeId="0">
      <text>
        <t>Loan: Huntington Bank, 5 Sleepers (March 2022). Source: Meiborg_Debt_Schedule_202511.xlsx</t>
      </text>
    </comment>
    <comment ref="F57" authorId="0" shapeId="0">
      <text>
        <t>Loan: Huntington Bank, 5 Sleepers (March 2022). Source: Meiborg_Debt_Schedule_202511.xlsx</t>
      </text>
    </comment>
    <comment ref="C58" authorId="0" shapeId="0">
      <text>
        <t>Loan: Huntington Bank, 5 Sleepers (March 2022). Source: Meiborg_Debt_Schedule_202511.xlsx</t>
      </text>
    </comment>
    <comment ref="D58" authorId="0" shapeId="0">
      <text>
        <t>Loan: Huntington Bank, 5 Sleepers (March 2022). Source: Meiborg_Debt_Schedule_202511.xlsx</t>
      </text>
    </comment>
    <comment ref="E58" authorId="0" shapeId="0">
      <text>
        <t>Loan: Huntington Bank, 5 Sleepers (March 2022). Source: Meiborg_Debt_Schedule_202511.xlsx</t>
      </text>
    </comment>
    <comment ref="F58" authorId="0" shapeId="0">
      <text>
        <t>Loan: Huntington Bank, 5 Sleepers (March 2022). Source: Meiborg_Debt_Schedule_202511.xlsx</t>
      </text>
    </comment>
    <comment ref="C59" authorId="0" shapeId="0">
      <text>
        <t>Loan: Huntington Bank, 5 Sleepers (March 2022). Source: Meiborg_Debt_Schedule_202511.xlsx</t>
      </text>
    </comment>
    <comment ref="D59" authorId="0" shapeId="0">
      <text>
        <t>Loan: Huntington Bank, 5 Sleepers (March 2022). Source: Meiborg_Debt_Schedule_202511.xlsx</t>
      </text>
    </comment>
    <comment ref="E59" authorId="0" shapeId="0">
      <text>
        <t>Loan: Huntington Bank, 5 Sleepers (March 2022). Source: Meiborg_Debt_Schedule_202511.xlsx</t>
      </text>
    </comment>
    <comment ref="F59" authorId="0" shapeId="0">
      <text>
        <t>Loan: Huntington Bank, 5 Sleepers (March 2022). Source: Meiborg_Debt_Schedule_202511.xlsx</t>
      </text>
    </comment>
    <comment ref="C60" authorId="0" shapeId="0">
      <text>
        <t>Loan: Huntington Bank, 5 Sleepers (March 2022). Source: Meiborg_Debt_Schedule_202511.xlsx</t>
      </text>
    </comment>
    <comment ref="D60" authorId="0" shapeId="0">
      <text>
        <t>Loan: Huntington Bank, 5 Sleepers (March 2022). Source: Meiborg_Debt_Schedule_202511.xlsx</t>
      </text>
    </comment>
    <comment ref="E60" authorId="0" shapeId="0">
      <text>
        <t>Loan: Huntington Bank, 5 Sleepers (March 2022). Source: Meiborg_Debt_Schedule_202511.xlsx</t>
      </text>
    </comment>
    <comment ref="F60" authorId="0" shapeId="0">
      <text>
        <t>Loan: Huntington Bank, 5 Sleepers (March 2022). Source: Meiborg_Debt_Schedule_202511.xlsx</t>
      </text>
    </comment>
    <comment ref="C61" authorId="0" shapeId="0">
      <text>
        <t>Loan: Huntington Bank, 5 Sleepers (March 2022). Source: Meiborg_Debt_Schedule_202511.xlsx</t>
      </text>
    </comment>
    <comment ref="D61" authorId="0" shapeId="0">
      <text>
        <t>Loan: Huntington Bank, 5 Sleepers (March 2022). Source: Meiborg_Debt_Schedule_202511.xlsx</t>
      </text>
    </comment>
    <comment ref="E61" authorId="0" shapeId="0">
      <text>
        <t>Loan: Huntington Bank, 5 Sleepers (March 2022). Source: Meiborg_Debt_Schedule_202511.xlsx</t>
      </text>
    </comment>
    <comment ref="F61" authorId="0" shapeId="0">
      <text>
        <t>Loan: Huntington Bank, 5 Sleepers (March 2022). Source: Meiborg_Debt_Schedule_202511.xlsx</t>
      </text>
    </comment>
    <comment ref="C62" authorId="0" shapeId="0">
      <text>
        <t>Loan: Huntington Bank, 5 Sleepers (March 2022). Source: Meiborg_Debt_Schedule_202511.xlsx</t>
      </text>
    </comment>
    <comment ref="D62" authorId="0" shapeId="0">
      <text>
        <t>Loan: Huntington Bank, 5 Sleepers (March 2022). Source: Meiborg_Debt_Schedule_202511.xlsx</t>
      </text>
    </comment>
    <comment ref="E62" authorId="0" shapeId="0">
      <text>
        <t>Loan: Huntington Bank, 5 Sleepers (March 2022). Source: Meiborg_Debt_Schedule_202511.xlsx</t>
      </text>
    </comment>
    <comment ref="F62" authorId="0" shapeId="0">
      <text>
        <t>Loan: Huntington Bank, 5 Sleepers (March 2022). Source: Meiborg_Debt_Schedule_202511.xlsx</t>
      </text>
    </comment>
    <comment ref="C63" authorId="0" shapeId="0">
      <text>
        <t>Loan: Huntington Bank, 5 Sleepers (March 2022). Source: Meiborg_Debt_Schedule_202511.xlsx</t>
      </text>
    </comment>
    <comment ref="D63" authorId="0" shapeId="0">
      <text>
        <t>Loan: Huntington Bank, 5 Sleepers (March 2022). Source: Meiborg_Debt_Schedule_202511.xlsx</t>
      </text>
    </comment>
    <comment ref="E63" authorId="0" shapeId="0">
      <text>
        <t>Loan: Huntington Bank, 5 Sleepers (March 2022). Source: Meiborg_Debt_Schedule_202511.xlsx</t>
      </text>
    </comment>
    <comment ref="F63" authorId="0" shapeId="0">
      <text>
        <t>Loan: Huntington Bank, 5 Sleepers (March 2022). Source: Meiborg_Debt_Schedule_202511.xlsx</t>
      </text>
    </comment>
    <comment ref="C64" authorId="0" shapeId="0">
      <text>
        <t>Loan: Huntington Bank, 5 Sleepers (March 2022). Source: Meiborg_Debt_Schedule_202511.xlsx</t>
      </text>
    </comment>
    <comment ref="D64" authorId="0" shapeId="0">
      <text>
        <t>Loan: Huntington Bank, 5 Sleepers (March 2022). Source: Meiborg_Debt_Schedule_202511.xlsx</t>
      </text>
    </comment>
    <comment ref="E64" authorId="0" shapeId="0">
      <text>
        <t>Loan: Huntington Bank, 5 Sleepers (March 2022). Source: Meiborg_Debt_Schedule_202511.xlsx</t>
      </text>
    </comment>
    <comment ref="F64" authorId="0" shapeId="0">
      <text>
        <t>Loan: Huntington Bank, 5 Sleepers (March 2022). Source: Meiborg_Debt_Schedule_202511.xlsx</t>
      </text>
    </comment>
    <comment ref="C65" authorId="0" shapeId="0">
      <text>
        <t>Loan: Huntington Bank, 5 Sleepers (March 2022). Source: Meiborg_Debt_Schedule_202511.xlsx</t>
      </text>
    </comment>
    <comment ref="D65" authorId="0" shapeId="0">
      <text>
        <t>Loan: Huntington Bank, 5 Sleepers (March 2022). Source: Meiborg_Debt_Schedule_202511.xlsx</t>
      </text>
    </comment>
    <comment ref="E65" authorId="0" shapeId="0">
      <text>
        <t>Loan: Huntington Bank, 5 Sleepers (March 2022). Source: Meiborg_Debt_Schedule_202511.xlsx</t>
      </text>
    </comment>
    <comment ref="F65" authorId="0" shapeId="0">
      <text>
        <t>Loan: Huntington Bank, 5 Sleepers (March 2022). Source: Meiborg_Debt_Schedule_202511.xlsx</t>
      </text>
    </comment>
    <comment ref="C66" authorId="0" shapeId="0">
      <text>
        <t>Loan: Huntington Bank, 5 Sleepers (March 2022). Source: Meiborg_Debt_Schedule_202511.xlsx</t>
      </text>
    </comment>
    <comment ref="D66" authorId="0" shapeId="0">
      <text>
        <t>Loan: Huntington Bank, 5 Sleepers (March 2022). Source: Meiborg_Debt_Schedule_202511.xlsx</t>
      </text>
    </comment>
    <comment ref="E66" authorId="0" shapeId="0">
      <text>
        <t>Loan: Huntington Bank, 5 Sleepers (March 2022). Source: Meiborg_Debt_Schedule_202511.xlsx</t>
      </text>
    </comment>
    <comment ref="F66" authorId="0" shapeId="0">
      <text>
        <t>Loan: Huntington Bank, 5 Sleepers (March 2022). Source: Meiborg_Debt_Schedule_202511.xlsx</t>
      </text>
    </comment>
    <comment ref="C67" authorId="0" shapeId="0">
      <text>
        <t>Loan: Huntington Bank, 5 Sleepers (March 2022). Source: Meiborg_Debt_Schedule_202511.xlsx</t>
      </text>
    </comment>
    <comment ref="D67" authorId="0" shapeId="0">
      <text>
        <t>Loan: Huntington Bank, 5 Sleepers (March 2022). Source: Meiborg_Debt_Schedule_202511.xlsx</t>
      </text>
    </comment>
    <comment ref="E67" authorId="0" shapeId="0">
      <text>
        <t>Loan: Huntington Bank, 5 Sleepers (March 2022). Source: Meiborg_Debt_Schedule_202511.xlsx</t>
      </text>
    </comment>
    <comment ref="F67" authorId="0" shapeId="0">
      <text>
        <t>Loan: Huntington Bank, 5 Sleepers (March 2022). Source: Meiborg_Debt_Schedule_202511.xlsx</t>
      </text>
    </comment>
    <comment ref="C68" authorId="0" shapeId="0">
      <text>
        <t>Loan: Huntington Bank, 5 Sleepers (March 2022). Source: Meiborg_Debt_Schedule_202511.xlsx</t>
      </text>
    </comment>
    <comment ref="D68" authorId="0" shapeId="0">
      <text>
        <t>Loan: Huntington Bank, 5 Sleepers (March 2022). Source: Meiborg_Debt_Schedule_202511.xlsx</t>
      </text>
    </comment>
    <comment ref="E68" authorId="0" shapeId="0">
      <text>
        <t>Loan: Huntington Bank, 5 Sleepers (March 2022). Source: Meiborg_Debt_Schedule_202511.xlsx</t>
      </text>
    </comment>
    <comment ref="F68" authorId="0" shapeId="0">
      <text>
        <t>Loan: Huntington Bank, 5 Sleepers (March 2022). Source: Meiborg_Debt_Schedule_202511.xlsx</t>
      </text>
    </comment>
    <comment ref="C69" authorId="0" shapeId="0">
      <text>
        <t>Loan: Huntington Bank, 5 Sleepers (March 2022). Source: Meiborg_Debt_Schedule_202511.xlsx</t>
      </text>
    </comment>
    <comment ref="D69" authorId="0" shapeId="0">
      <text>
        <t>Loan: Huntington Bank, 5 Sleepers (March 2022). Source: Meiborg_Debt_Schedule_202511.xlsx</t>
      </text>
    </comment>
    <comment ref="E69" authorId="0" shapeId="0">
      <text>
        <t>Loan: Huntington Bank, 5 Sleepers (March 2022). Source: Meiborg_Debt_Schedule_202511.xlsx</t>
      </text>
    </comment>
    <comment ref="F69" authorId="0" shapeId="0">
      <text>
        <t>Loan: Huntington Bank, 5 Sleepers (March 2022). Source: Meiborg_Debt_Schedule_202511.xlsx</t>
      </text>
    </comment>
    <comment ref="C70" authorId="0" shapeId="0">
      <text>
        <t>Loan: Huntington Bank, 5 Sleepers (March 2022). Source: Meiborg_Debt_Schedule_202511.xlsx</t>
      </text>
    </comment>
    <comment ref="D70" authorId="0" shapeId="0">
      <text>
        <t>Loan: Huntington Bank, 5 Sleepers (March 2022). Source: Meiborg_Debt_Schedule_202511.xlsx</t>
      </text>
    </comment>
    <comment ref="E70" authorId="0" shapeId="0">
      <text>
        <t>Loan: Huntington Bank, 5 Sleepers (March 2022). Source: Meiborg_Debt_Schedule_202511.xlsx</t>
      </text>
    </comment>
    <comment ref="F70" authorId="0" shapeId="0">
      <text>
        <t>Loan: Huntington Bank, 5 Sleepers (March 2022). Source: Meiborg_Debt_Schedule_202511.xlsx</t>
      </text>
    </comment>
    <comment ref="C71" authorId="0" shapeId="0">
      <text>
        <t>Loan: Huntington Bank, 5 Sleepers (March 2022). Source: Meiborg_Debt_Schedule_202511.xlsx</t>
      </text>
    </comment>
    <comment ref="D71" authorId="0" shapeId="0">
      <text>
        <t>Loan: Huntington Bank, 5 Sleepers (March 2022). Source: Meiborg_Debt_Schedule_202511.xlsx</t>
      </text>
    </comment>
    <comment ref="E71" authorId="0" shapeId="0">
      <text>
        <t>Loan: Huntington Bank, 5 Sleepers (March 2022). Source: Meiborg_Debt_Schedule_202511.xlsx</t>
      </text>
    </comment>
    <comment ref="F71" authorId="0" shapeId="0">
      <text>
        <t>Loan: Huntington Bank, 5 Sleepers (March 2022). Source: Meiborg_Debt_Schedule_202511.xlsx</t>
      </text>
    </comment>
    <comment ref="C72" authorId="0" shapeId="0">
      <text>
        <t>Loan: Huntington Bank, 5 Sleepers (March 2022). Source: Meiborg_Debt_Schedule_202511.xlsx</t>
      </text>
    </comment>
    <comment ref="D72" authorId="0" shapeId="0">
      <text>
        <t>Loan: Huntington Bank, 5 Sleepers (March 2022). Source: Meiborg_Debt_Schedule_202511.xlsx</t>
      </text>
    </comment>
    <comment ref="E72" authorId="0" shapeId="0">
      <text>
        <t>Loan: Huntington Bank, 5 Sleepers (March 2022). Source: Meiborg_Debt_Schedule_202511.xlsx</t>
      </text>
    </comment>
    <comment ref="F72" authorId="0" shapeId="0">
      <text>
        <t>Loan: Huntington Bank, 5 Sleepers (March 2022). Source: Meiborg_Debt_Schedule_202511.xlsx</t>
      </text>
    </comment>
    <comment ref="C73" authorId="0" shapeId="0">
      <text>
        <t>Loan: Huntington Bank, 5 Sleepers (March 2022). Source: Meiborg_Debt_Schedule_202511.xlsx</t>
      </text>
    </comment>
    <comment ref="D73" authorId="0" shapeId="0">
      <text>
        <t>Loan: Huntington Bank, 5 Sleepers (March 2022). Source: Meiborg_Debt_Schedule_202511.xlsx</t>
      </text>
    </comment>
    <comment ref="E73" authorId="0" shapeId="0">
      <text>
        <t>Loan: Huntington Bank, 5 Sleepers (March 2022). Source: Meiborg_Debt_Schedule_202511.xlsx</t>
      </text>
    </comment>
    <comment ref="F73" authorId="0" shapeId="0">
      <text>
        <t>Loan: Huntington Bank, 5 Sleepers (March 2022). Source: Meiborg_Debt_Schedule_202511.xlsx</t>
      </text>
    </comment>
    <comment ref="C74" authorId="0" shapeId="0">
      <text>
        <t>Loan: Huntington Bank, 5 Sleepers (March 2022). Source: Meiborg_Debt_Schedule_202511.xlsx</t>
      </text>
    </comment>
    <comment ref="D74" authorId="0" shapeId="0">
      <text>
        <t>Loan: Huntington Bank, 5 Sleepers (March 2022). Source: Meiborg_Debt_Schedule_202511.xlsx</t>
      </text>
    </comment>
    <comment ref="E74" authorId="0" shapeId="0">
      <text>
        <t>Loan: Huntington Bank, 5 Sleepers (March 2022). Source: Meiborg_Debt_Schedule_202511.xlsx</t>
      </text>
    </comment>
    <comment ref="F74" authorId="0" shapeId="0">
      <text>
        <t>Loan: Huntington Bank, 5 Sleepers (March 2022). Source: Meiborg_Debt_Schedule_202511.xlsx</t>
      </text>
    </comment>
    <comment ref="C75" authorId="0" shapeId="0">
      <text>
        <t>Loan: Huntington Bank, 5 Sleepers (March 2022). Source: Meiborg_Debt_Schedule_202511.xlsx</t>
      </text>
    </comment>
    <comment ref="D75" authorId="0" shapeId="0">
      <text>
        <t>Loan: Huntington Bank, 5 Sleepers (March 2022). Source: Meiborg_Debt_Schedule_202511.xlsx</t>
      </text>
    </comment>
    <comment ref="E75" authorId="0" shapeId="0">
      <text>
        <t>Loan: Huntington Bank, 5 Sleepers (March 2022). Source: Meiborg_Debt_Schedule_202511.xlsx</t>
      </text>
    </comment>
    <comment ref="F75" authorId="0" shapeId="0">
      <text>
        <t>Loan: Huntington Bank, 5 Sleepers (March 2022). Source: Meiborg_Debt_Schedule_202511.xlsx</t>
      </text>
    </comment>
    <comment ref="C76" authorId="0" shapeId="0">
      <text>
        <t>Loan: Huntington Bank, 5 Sleepers (March 2022). Source: Meiborg_Debt_Schedule_202511.xlsx</t>
      </text>
    </comment>
    <comment ref="D76" authorId="0" shapeId="0">
      <text>
        <t>Loan: Huntington Bank, 5 Sleepers (March 2022). Source: Meiborg_Debt_Schedule_202511.xlsx</t>
      </text>
    </comment>
    <comment ref="E76" authorId="0" shapeId="0">
      <text>
        <t>Loan: Huntington Bank, 5 Sleepers (March 2022). Source: Meiborg_Debt_Schedule_202511.xlsx</t>
      </text>
    </comment>
    <comment ref="F76" authorId="0" shapeId="0">
      <text>
        <t>Loan: Huntington Bank, 5 Sleepers (March 2022). Source: Meiborg_Debt_Schedule_202511.xlsx</t>
      </text>
    </comment>
    <comment ref="C77" authorId="0" shapeId="0">
      <text>
        <t>Loan: Huntington Bank, 5 Sleepers (March 2022). Source: Meiborg_Debt_Schedule_202511.xlsx</t>
      </text>
    </comment>
    <comment ref="D77" authorId="0" shapeId="0">
      <text>
        <t>Loan: Huntington Bank, 5 Sleepers (March 2022). Source: Meiborg_Debt_Schedule_202511.xlsx</t>
      </text>
    </comment>
    <comment ref="E77" authorId="0" shapeId="0">
      <text>
        <t>Loan: Huntington Bank, 5 Sleepers (March 2022). Source: Meiborg_Debt_Schedule_202511.xlsx</t>
      </text>
    </comment>
    <comment ref="F77" authorId="0" shapeId="0">
      <text>
        <t>Loan: Huntington Bank, 5 Sleepers (March 2022). Source: Meiborg_Debt_Schedule_202511.xlsx</t>
      </text>
    </comment>
    <comment ref="C78" authorId="0" shapeId="0">
      <text>
        <t>Loan: Huntington Bank, 5 Sleepers (March 2022). Source: Meiborg_Debt_Schedule_202511.xlsx</t>
      </text>
    </comment>
    <comment ref="D78" authorId="0" shapeId="0">
      <text>
        <t>Loan: Huntington Bank, 5 Sleepers (March 2022). Source: Meiborg_Debt_Schedule_202511.xlsx</t>
      </text>
    </comment>
    <comment ref="E78" authorId="0" shapeId="0">
      <text>
        <t>Loan: Huntington Bank, 5 Sleepers (March 2022). Source: Meiborg_Debt_Schedule_202511.xlsx</t>
      </text>
    </comment>
    <comment ref="F78" authorId="0" shapeId="0">
      <text>
        <t>Loan: Huntington Bank, 5 Sleepers (March 2022). Source: Meiborg_Debt_Schedule_202511.xlsx</t>
      </text>
    </comment>
    <comment ref="C79" authorId="0" shapeId="0">
      <text>
        <t>Loan: Huntington Bank, 5 Sleepers (March 2022). Source: Meiborg_Debt_Schedule_202511.xlsx</t>
      </text>
    </comment>
    <comment ref="D79" authorId="0" shapeId="0">
      <text>
        <t>Loan: Huntington Bank, 5 Sleepers (March 2022). Source: Meiborg_Debt_Schedule_202511.xlsx</t>
      </text>
    </comment>
    <comment ref="E79" authorId="0" shapeId="0">
      <text>
        <t>Loan: Huntington Bank, 5 Sleepers (March 2022). Source: Meiborg_Debt_Schedule_202511.xlsx</t>
      </text>
    </comment>
    <comment ref="F79" authorId="0" shapeId="0">
      <text>
        <t>Loan: Huntington Bank, 5 Sleepers (March 2022). Source: Meiborg_Debt_Schedule_202511.xlsx</t>
      </text>
    </comment>
    <comment ref="C80" authorId="0" shapeId="0">
      <text>
        <t>Loan: Huntington Bank, 5 Sleepers (March 2022). Source: Meiborg_Debt_Schedule_202511.xlsx</t>
      </text>
    </comment>
    <comment ref="D80" authorId="0" shapeId="0">
      <text>
        <t>Loan: Huntington Bank, 5 Sleepers (March 2022). Source: Meiborg_Debt_Schedule_202511.xlsx</t>
      </text>
    </comment>
    <comment ref="E80" authorId="0" shapeId="0">
      <text>
        <t>Loan: Huntington Bank, 5 Sleepers (March 2022). Source: Meiborg_Debt_Schedule_202511.xlsx</t>
      </text>
    </comment>
    <comment ref="F80" authorId="0" shapeId="0">
      <text>
        <t>Loan: Huntington Bank, 5 Sleepers (March 2022). Source: Meiborg_Debt_Schedule_202511.xlsx</t>
      </text>
    </comment>
    <comment ref="C81" authorId="0" shapeId="0">
      <text>
        <t>Loan: Huntington Bank, 5 Sleepers (March 2022). Source: Meiborg_Debt_Schedule_202511.xlsx</t>
      </text>
    </comment>
    <comment ref="D81" authorId="0" shapeId="0">
      <text>
        <t>Loan: Huntington Bank, 5 Sleepers (March 2022). Source: Meiborg_Debt_Schedule_202511.xlsx</t>
      </text>
    </comment>
    <comment ref="E81" authorId="0" shapeId="0">
      <text>
        <t>Loan: Huntington Bank, 5 Sleepers (March 2022). Source: Meiborg_Debt_Schedule_202511.xlsx</t>
      </text>
    </comment>
    <comment ref="F81" authorId="0" shapeId="0">
      <text>
        <t>Loan: Huntington Bank, 5 Sleepers (March 2022). Source: Meiborg_Debt_Schedule_202511.xlsx</t>
      </text>
    </comment>
    <comment ref="C82" authorId="0" shapeId="0">
      <text>
        <t>Loan: Huntington Bank, 5 Sleepers (March 2022). Source: Meiborg_Debt_Schedule_202511.xlsx</t>
      </text>
    </comment>
    <comment ref="D82" authorId="0" shapeId="0">
      <text>
        <t>Loan: Huntington Bank, 5 Sleepers (March 2022). Source: Meiborg_Debt_Schedule_202511.xlsx</t>
      </text>
    </comment>
    <comment ref="E82" authorId="0" shapeId="0">
      <text>
        <t>Loan: Huntington Bank, 5 Sleepers (March 2022). Source: Meiborg_Debt_Schedule_202511.xlsx</t>
      </text>
    </comment>
    <comment ref="F82" authorId="0" shapeId="0">
      <text>
        <t>Loan: Huntington Bank, 5 Sleepers (March 2022). Source: Meiborg_Debt_Schedule_202511.xlsx</t>
      </text>
    </comment>
    <comment ref="C83" authorId="0" shapeId="0">
      <text>
        <t>Loan: Huntington Bank, 5 Sleepers (March 2022). Source: Meiborg_Debt_Schedule_202511.xlsx</t>
      </text>
    </comment>
    <comment ref="D83" authorId="0" shapeId="0">
      <text>
        <t>Loan: Huntington Bank, 5 Sleepers (March 2022). Source: Meiborg_Debt_Schedule_202511.xlsx</t>
      </text>
    </comment>
    <comment ref="E83" authorId="0" shapeId="0">
      <text>
        <t>Loan: Huntington Bank, 5 Sleepers (March 2022). Source: Meiborg_Debt_Schedule_202511.xlsx</t>
      </text>
    </comment>
    <comment ref="F83" authorId="0" shapeId="0">
      <text>
        <t>Loan: Huntington Bank, 5 Sleepers (March 2022). Source: Meiborg_Debt_Schedule_202511.xlsx</t>
      </text>
    </comment>
    <comment ref="C84" authorId="0" shapeId="0">
      <text>
        <t>Loan: Huntington Bank, 5 Sleepers (March 2022). Source: Meiborg_Debt_Schedule_202511.xlsx</t>
      </text>
    </comment>
    <comment ref="D84" authorId="0" shapeId="0">
      <text>
        <t>Loan: Huntington Bank, 5 Sleepers (March 2022). Source: Meiborg_Debt_Schedule_202511.xlsx</t>
      </text>
    </comment>
    <comment ref="E84" authorId="0" shapeId="0">
      <text>
        <t>Loan: Huntington Bank, 5 Sleepers (March 2022). Source: Meiborg_Debt_Schedule_202511.xlsx</t>
      </text>
    </comment>
    <comment ref="F84" authorId="0" shapeId="0">
      <text>
        <t>Loan: Huntington Bank, 5 Sleepers (March 2022). Source: Meiborg_Debt_Schedule_202511.xlsx</t>
      </text>
    </comment>
    <comment ref="C85" authorId="0" shapeId="0">
      <text>
        <t>Loan: Huntington Bank, 5 Sleepers (March 2022). Source: Meiborg_Debt_Schedule_202511.xlsx</t>
      </text>
    </comment>
    <comment ref="D85" authorId="0" shapeId="0">
      <text>
        <t>Loan: Huntington Bank, 5 Sleepers (March 2022). Source: Meiborg_Debt_Schedule_202511.xlsx</t>
      </text>
    </comment>
    <comment ref="E85" authorId="0" shapeId="0">
      <text>
        <t>Loan: Huntington Bank, 5 Sleepers (March 2022). Source: Meiborg_Debt_Schedule_202511.xlsx</t>
      </text>
    </comment>
    <comment ref="F85" authorId="0" shapeId="0">
      <text>
        <t>Loan: Huntington Bank, 5 Sleepers (March 2022). Source: Meiborg_Debt_Schedule_202511.xlsx</t>
      </text>
    </comment>
    <comment ref="C86" authorId="0" shapeId="0">
      <text>
        <t>Loan: Huntington Bank, 5 Sleepers (March 2022). Source: Meiborg_Debt_Schedule_202511.xlsx</t>
      </text>
    </comment>
    <comment ref="D86" authorId="0" shapeId="0">
      <text>
        <t>Loan: Huntington Bank, 5 Sleepers (March 2022). Source: Meiborg_Debt_Schedule_202511.xlsx</t>
      </text>
    </comment>
    <comment ref="E86" authorId="0" shapeId="0">
      <text>
        <t>Loan: Huntington Bank, 5 Sleepers (March 2022). Source: Meiborg_Debt_Schedule_202511.xlsx</t>
      </text>
    </comment>
    <comment ref="F86" authorId="0" shapeId="0">
      <text>
        <t>Loan: Huntington Bank, 5 Sleepers (March 2022). Source: Meiborg_Debt_Schedule_202511.xlsx</t>
      </text>
    </comment>
    <comment ref="C87" authorId="0" shapeId="0">
      <text>
        <t>Loan: Huntington Bank, 5 Sleepers (March 2022). Source: Meiborg_Debt_Schedule_202511.xlsx</t>
      </text>
    </comment>
    <comment ref="D87" authorId="0" shapeId="0">
      <text>
        <t>Loan: Huntington Bank, 5 Sleepers (March 2022). Source: Meiborg_Debt_Schedule_202511.xlsx</t>
      </text>
    </comment>
    <comment ref="E87" authorId="0" shapeId="0">
      <text>
        <t>Loan: Huntington Bank, 5 Sleepers (March 2022). Source: Meiborg_Debt_Schedule_202511.xlsx</t>
      </text>
    </comment>
    <comment ref="F87" authorId="0" shapeId="0">
      <text>
        <t>Loan: Huntington Bank, 5 Sleepers (March 2022). Source: Meiborg_Debt_Schedule_202511.xlsx</t>
      </text>
    </comment>
    <comment ref="C88" authorId="0" shapeId="0">
      <text>
        <t>Loan: Huntington Bank, 5 Sleepers (March 2022). Source: Meiborg_Debt_Schedule_202511.xlsx</t>
      </text>
    </comment>
    <comment ref="D88" authorId="0" shapeId="0">
      <text>
        <t>Loan: Huntington Bank, 5 Sleepers (March 2022). Source: Meiborg_Debt_Schedule_202511.xlsx</t>
      </text>
    </comment>
    <comment ref="E88" authorId="0" shapeId="0">
      <text>
        <t>Loan: Huntington Bank, 5 Sleepers (March 2022). Source: Meiborg_Debt_Schedule_202511.xlsx</t>
      </text>
    </comment>
    <comment ref="F88" authorId="0" shapeId="0">
      <text>
        <t>Loan: Huntington Bank, 5 Sleepers (March 2022). Source: Meiborg_Debt_Schedule_202511.xlsx</t>
      </text>
    </comment>
    <comment ref="C89" authorId="0" shapeId="0">
      <text>
        <t>Loan: Huntington Bank, 5 Sleepers (March 2022). Source: Meiborg_Debt_Schedule_202511.xlsx</t>
      </text>
    </comment>
    <comment ref="D89" authorId="0" shapeId="0">
      <text>
        <t>Loan: Huntington Bank, 5 Sleepers (March 2022). Source: Meiborg_Debt_Schedule_202511.xlsx</t>
      </text>
    </comment>
    <comment ref="E89" authorId="0" shapeId="0">
      <text>
        <t>Loan: Huntington Bank, 5 Sleepers (March 2022). Source: Meiborg_Debt_Schedule_202511.xlsx</t>
      </text>
    </comment>
    <comment ref="F89" authorId="0" shapeId="0">
      <text>
        <t>Loan: Huntington Bank, 5 Sleepers (March 2022). Source: Meiborg_Debt_Schedule_202511.xlsx</t>
      </text>
    </comment>
    <comment ref="D90" authorId="0" shapeId="0">
      <text>
        <t>Sum of rows 24-89: Total interest over loan term</t>
      </text>
    </comment>
    <comment ref="E90" authorId="0" shapeId="0">
      <text>
        <t>Sum of rows 24-89: Total principal over loan term</t>
      </text>
    </comment>
    <comment ref="B94" authorId="0" shapeId="0">
      <text>
        <t>Source: data/loans.md - Huntington Loan 2
Extracted: 2026-05-19</t>
      </text>
    </comment>
    <comment ref="B95" authorId="0" shapeId="0">
      <text>
        <t>Source: data/loans.md - Account number
Extracted: 2026-05-19</t>
      </text>
    </comment>
    <comment ref="B96" authorId="0" shapeId="0">
      <text>
        <t>Source: data/loans.md - Original loan amount at origination
Loan: Huntington Bank, 25 Trailers (March 2022). Source: Meiborg_Debt_Schedule_202511.xlsx</t>
      </text>
    </comment>
    <comment ref="B97" authorId="0" shapeId="0">
      <text>
        <t>Source: data/loans.md - Interest rate 3.16%
Loan: Huntington Bank, 25 Trailers (March 2022). Source: Meiborg_Debt_Schedule_202511.xlsx</t>
      </text>
    </comment>
    <comment ref="B98" authorId="0" shapeId="0">
      <text>
        <t>Driver: Calculated from origination 2022-03-18 to maturity 2029-03-17</t>
      </text>
    </comment>
    <comment ref="B99" authorId="0" shapeId="0">
      <text>
        <t>Source: data/loans.md - Monthly P&amp;I payment
Loan: Huntington Bank, 25 Trailers (March 2022). Source: Meiborg_Debt_Schedule_202511.xlsx</t>
      </text>
    </comment>
    <comment ref="B100" authorId="0" shapeId="0">
      <text>
        <t>Loan type classification: Standard P&amp;I payments</t>
      </text>
    </comment>
    <comment ref="B101" authorId="0" shapeId="0">
      <text>
        <t>Source: data/loans.md - Equipment purpose</t>
      </text>
    </comment>
    <comment ref="B102" authorId="0" shapeId="0">
      <text>
        <t>Source: data/loans.md - Loan maturity date</t>
      </text>
    </comment>
    <comment ref="C108" authorId="0" shapeId="0">
      <text>
        <t>Loan: Huntington Bank, 25 Trailers (March 2022). Source: Meiborg_Debt_Schedule_202511.xlsx</t>
      </text>
    </comment>
    <comment ref="D108" authorId="0" shapeId="0">
      <text>
        <t>Loan: Huntington Bank, 25 Trailers (March 2022). Source: Meiborg_Debt_Schedule_202511.xlsx</t>
      </text>
    </comment>
    <comment ref="E108" authorId="0" shapeId="0">
      <text>
        <t>Loan: Huntington Bank, 25 Trailers (March 2022). Source: Meiborg_Debt_Schedule_202511.xlsx</t>
      </text>
    </comment>
    <comment ref="F108" authorId="0" shapeId="0">
      <text>
        <t>Loan: Huntington Bank, 25 Trailers (March 2022). Source: Meiborg_Debt_Schedule_202511.xlsx</t>
      </text>
    </comment>
    <comment ref="C109" authorId="0" shapeId="0">
      <text>
        <t>Loan: Huntington Bank, 25 Trailers (March 2022). Source: Meiborg_Debt_Schedule_202511.xlsx</t>
      </text>
    </comment>
    <comment ref="D109" authorId="0" shapeId="0">
      <text>
        <t>Loan: Huntington Bank, 25 Trailers (March 2022). Source: Meiborg_Debt_Schedule_202511.xlsx</t>
      </text>
    </comment>
    <comment ref="E109" authorId="0" shapeId="0">
      <text>
        <t>Loan: Huntington Bank, 25 Trailers (March 2022). Source: Meiborg_Debt_Schedule_202511.xlsx</t>
      </text>
    </comment>
    <comment ref="F109" authorId="0" shapeId="0">
      <text>
        <t>Loan: Huntington Bank, 25 Trailers (March 2022). Source: Meiborg_Debt_Schedule_202511.xlsx</t>
      </text>
    </comment>
    <comment ref="C110" authorId="0" shapeId="0">
      <text>
        <t>Loan: Huntington Bank, 25 Trailers (March 2022). Source: Meiborg_Debt_Schedule_202511.xlsx</t>
      </text>
    </comment>
    <comment ref="D110" authorId="0" shapeId="0">
      <text>
        <t>Loan: Huntington Bank, 25 Trailers (March 2022). Source: Meiborg_Debt_Schedule_202511.xlsx</t>
      </text>
    </comment>
    <comment ref="E110" authorId="0" shapeId="0">
      <text>
        <t>Loan: Huntington Bank, 25 Trailers (March 2022). Source: Meiborg_Debt_Schedule_202511.xlsx</t>
      </text>
    </comment>
    <comment ref="F110" authorId="0" shapeId="0">
      <text>
        <t>Loan: Huntington Bank, 25 Trailers (March 2022). Source: Meiborg_Debt_Schedule_202511.xlsx</t>
      </text>
    </comment>
    <comment ref="C111" authorId="0" shapeId="0">
      <text>
        <t>Loan: Huntington Bank, 25 Trailers (March 2022). Source: Meiborg_Debt_Schedule_202511.xlsx</t>
      </text>
    </comment>
    <comment ref="D111" authorId="0" shapeId="0">
      <text>
        <t>Loan: Huntington Bank, 25 Trailers (March 2022). Source: Meiborg_Debt_Schedule_202511.xlsx</t>
      </text>
    </comment>
    <comment ref="E111" authorId="0" shapeId="0">
      <text>
        <t>Loan: Huntington Bank, 25 Trailers (March 2022). Source: Meiborg_Debt_Schedule_202511.xlsx</t>
      </text>
    </comment>
    <comment ref="F111" authorId="0" shapeId="0">
      <text>
        <t>Loan: Huntington Bank, 25 Trailers (March 2022). Source: Meiborg_Debt_Schedule_202511.xlsx</t>
      </text>
    </comment>
    <comment ref="C112" authorId="0" shapeId="0">
      <text>
        <t>Loan: Huntington Bank, 25 Trailers (March 2022). Source: Meiborg_Debt_Schedule_202511.xlsx</t>
      </text>
    </comment>
    <comment ref="D112" authorId="0" shapeId="0">
      <text>
        <t>Loan: Huntington Bank, 25 Trailers (March 2022). Source: Meiborg_Debt_Schedule_202511.xlsx</t>
      </text>
    </comment>
    <comment ref="E112" authorId="0" shapeId="0">
      <text>
        <t>Loan: Huntington Bank, 25 Trailers (March 2022). Source: Meiborg_Debt_Schedule_202511.xlsx</t>
      </text>
    </comment>
    <comment ref="F112" authorId="0" shapeId="0">
      <text>
        <t>Loan: Huntington Bank, 25 Trailers (March 2022). Source: Meiborg_Debt_Schedule_202511.xlsx</t>
      </text>
    </comment>
    <comment ref="C113" authorId="0" shapeId="0">
      <text>
        <t>Loan: Huntington Bank, 25 Trailers (March 2022). Source: Meiborg_Debt_Schedule_202511.xlsx</t>
      </text>
    </comment>
    <comment ref="D113" authorId="0" shapeId="0">
      <text>
        <t>Loan: Huntington Bank, 25 Trailers (March 2022). Source: Meiborg_Debt_Schedule_202511.xlsx</t>
      </text>
    </comment>
    <comment ref="E113" authorId="0" shapeId="0">
      <text>
        <t>Loan: Huntington Bank, 25 Trailers (March 2022). Source: Meiborg_Debt_Schedule_202511.xlsx</t>
      </text>
    </comment>
    <comment ref="F113" authorId="0" shapeId="0">
      <text>
        <t>Loan: Huntington Bank, 25 Trailers (March 2022). Source: Meiborg_Debt_Schedule_202511.xlsx</t>
      </text>
    </comment>
    <comment ref="C114" authorId="0" shapeId="0">
      <text>
        <t>Loan: Huntington Bank, 25 Trailers (March 2022). Source: Meiborg_Debt_Schedule_202511.xlsx</t>
      </text>
    </comment>
    <comment ref="D114" authorId="0" shapeId="0">
      <text>
        <t>Loan: Huntington Bank, 25 Trailers (March 2022). Source: Meiborg_Debt_Schedule_202511.xlsx</t>
      </text>
    </comment>
    <comment ref="E114" authorId="0" shapeId="0">
      <text>
        <t>Loan: Huntington Bank, 25 Trailers (March 2022). Source: Meiborg_Debt_Schedule_202511.xlsx</t>
      </text>
    </comment>
    <comment ref="F114" authorId="0" shapeId="0">
      <text>
        <t>Loan: Huntington Bank, 25 Trailers (March 2022). Source: Meiborg_Debt_Schedule_202511.xlsx</t>
      </text>
    </comment>
    <comment ref="C115" authorId="0" shapeId="0">
      <text>
        <t>Loan: Huntington Bank, 25 Trailers (March 2022). Source: Meiborg_Debt_Schedule_202511.xlsx</t>
      </text>
    </comment>
    <comment ref="D115" authorId="0" shapeId="0">
      <text>
        <t>Loan: Huntington Bank, 25 Trailers (March 2022). Source: Meiborg_Debt_Schedule_202511.xlsx</t>
      </text>
    </comment>
    <comment ref="E115" authorId="0" shapeId="0">
      <text>
        <t>Loan: Huntington Bank, 25 Trailers (March 2022). Source: Meiborg_Debt_Schedule_202511.xlsx</t>
      </text>
    </comment>
    <comment ref="F115" authorId="0" shapeId="0">
      <text>
        <t>Loan: Huntington Bank, 25 Trailers (March 2022). Source: Meiborg_Debt_Schedule_202511.xlsx</t>
      </text>
    </comment>
    <comment ref="C116" authorId="0" shapeId="0">
      <text>
        <t>Loan: Huntington Bank, 25 Trailers (March 2022). Source: Meiborg_Debt_Schedule_202511.xlsx</t>
      </text>
    </comment>
    <comment ref="D116" authorId="0" shapeId="0">
      <text>
        <t>Loan: Huntington Bank, 25 Trailers (March 2022). Source: Meiborg_Debt_Schedule_202511.xlsx</t>
      </text>
    </comment>
    <comment ref="E116" authorId="0" shapeId="0">
      <text>
        <t>Loan: Huntington Bank, 25 Trailers (March 2022). Source: Meiborg_Debt_Schedule_202511.xlsx</t>
      </text>
    </comment>
    <comment ref="F116" authorId="0" shapeId="0">
      <text>
        <t>Loan: Huntington Bank, 25 Trailers (March 2022). Source: Meiborg_Debt_Schedule_202511.xlsx</t>
      </text>
    </comment>
    <comment ref="C117" authorId="0" shapeId="0">
      <text>
        <t>Loan: Huntington Bank, 25 Trailers (March 2022). Source: Meiborg_Debt_Schedule_202511.xlsx</t>
      </text>
    </comment>
    <comment ref="D117" authorId="0" shapeId="0">
      <text>
        <t>Loan: Huntington Bank, 25 Trailers (March 2022). Source: Meiborg_Debt_Schedule_202511.xlsx</t>
      </text>
    </comment>
    <comment ref="E117" authorId="0" shapeId="0">
      <text>
        <t>Loan: Huntington Bank, 25 Trailers (March 2022). Source: Meiborg_Debt_Schedule_202511.xlsx</t>
      </text>
    </comment>
    <comment ref="F117" authorId="0" shapeId="0">
      <text>
        <t>Loan: Huntington Bank, 25 Trailers (March 2022). Source: Meiborg_Debt_Schedule_202511.xlsx</t>
      </text>
    </comment>
    <comment ref="C118" authorId="0" shapeId="0">
      <text>
        <t>Loan: Huntington Bank, 25 Trailers (March 2022). Source: Meiborg_Debt_Schedule_202511.xlsx</t>
      </text>
    </comment>
    <comment ref="D118" authorId="0" shapeId="0">
      <text>
        <t>Loan: Huntington Bank, 25 Trailers (March 2022). Source: Meiborg_Debt_Schedule_202511.xlsx</t>
      </text>
    </comment>
    <comment ref="E118" authorId="0" shapeId="0">
      <text>
        <t>Loan: Huntington Bank, 25 Trailers (March 2022). Source: Meiborg_Debt_Schedule_202511.xlsx</t>
      </text>
    </comment>
    <comment ref="F118" authorId="0" shapeId="0">
      <text>
        <t>Loan: Huntington Bank, 25 Trailers (March 2022). Source: Meiborg_Debt_Schedule_202511.xlsx</t>
      </text>
    </comment>
    <comment ref="C119" authorId="0" shapeId="0">
      <text>
        <t>Loan: Huntington Bank, 25 Trailers (March 2022). Source: Meiborg_Debt_Schedule_202511.xlsx</t>
      </text>
    </comment>
    <comment ref="D119" authorId="0" shapeId="0">
      <text>
        <t>Loan: Huntington Bank, 25 Trailers (March 2022). Source: Meiborg_Debt_Schedule_202511.xlsx</t>
      </text>
    </comment>
    <comment ref="E119" authorId="0" shapeId="0">
      <text>
        <t>Loan: Huntington Bank, 25 Trailers (March 2022). Source: Meiborg_Debt_Schedule_202511.xlsx</t>
      </text>
    </comment>
    <comment ref="F119" authorId="0" shapeId="0">
      <text>
        <t>Loan: Huntington Bank, 25 Trailers (March 2022). Source: Meiborg_Debt_Schedule_202511.xlsx</t>
      </text>
    </comment>
    <comment ref="C120" authorId="0" shapeId="0">
      <text>
        <t>Loan: Huntington Bank, 25 Trailers (March 2022). Source: Meiborg_Debt_Schedule_202511.xlsx</t>
      </text>
    </comment>
    <comment ref="D120" authorId="0" shapeId="0">
      <text>
        <t>Loan: Huntington Bank, 25 Trailers (March 2022). Source: Meiborg_Debt_Schedule_202511.xlsx</t>
      </text>
    </comment>
    <comment ref="E120" authorId="0" shapeId="0">
      <text>
        <t>Loan: Huntington Bank, 25 Trailers (March 2022). Source: Meiborg_Debt_Schedule_202511.xlsx</t>
      </text>
    </comment>
    <comment ref="F120" authorId="0" shapeId="0">
      <text>
        <t>Loan: Huntington Bank, 25 Trailers (March 2022). Source: Meiborg_Debt_Schedule_202511.xlsx</t>
      </text>
    </comment>
    <comment ref="C121" authorId="0" shapeId="0">
      <text>
        <t>Loan: Huntington Bank, 25 Trailers (March 2022). Source: Meiborg_Debt_Schedule_202511.xlsx</t>
      </text>
    </comment>
    <comment ref="D121" authorId="0" shapeId="0">
      <text>
        <t>Loan: Huntington Bank, 25 Trailers (March 2022). Source: Meiborg_Debt_Schedule_202511.xlsx</t>
      </text>
    </comment>
    <comment ref="E121" authorId="0" shapeId="0">
      <text>
        <t>Loan: Huntington Bank, 25 Trailers (March 2022). Source: Meiborg_Debt_Schedule_202511.xlsx</t>
      </text>
    </comment>
    <comment ref="F121" authorId="0" shapeId="0">
      <text>
        <t>Loan: Huntington Bank, 25 Trailers (March 2022). Source: Meiborg_Debt_Schedule_202511.xlsx</t>
      </text>
    </comment>
    <comment ref="C122" authorId="0" shapeId="0">
      <text>
        <t>Loan: Huntington Bank, 25 Trailers (March 2022). Source: Meiborg_Debt_Schedule_202511.xlsx</t>
      </text>
    </comment>
    <comment ref="D122" authorId="0" shapeId="0">
      <text>
        <t>Loan: Huntington Bank, 25 Trailers (March 2022). Source: Meiborg_Debt_Schedule_202511.xlsx</t>
      </text>
    </comment>
    <comment ref="E122" authorId="0" shapeId="0">
      <text>
        <t>Loan: Huntington Bank, 25 Trailers (March 2022). Source: Meiborg_Debt_Schedule_202511.xlsx</t>
      </text>
    </comment>
    <comment ref="F122" authorId="0" shapeId="0">
      <text>
        <t>Loan: Huntington Bank, 25 Trailers (March 2022). Source: Meiborg_Debt_Schedule_202511.xlsx</t>
      </text>
    </comment>
    <comment ref="C123" authorId="0" shapeId="0">
      <text>
        <t>Loan: Huntington Bank, 25 Trailers (March 2022). Source: Meiborg_Debt_Schedule_202511.xlsx</t>
      </text>
    </comment>
    <comment ref="D123" authorId="0" shapeId="0">
      <text>
        <t>Loan: Huntington Bank, 25 Trailers (March 2022). Source: Meiborg_Debt_Schedule_202511.xlsx</t>
      </text>
    </comment>
    <comment ref="E123" authorId="0" shapeId="0">
      <text>
        <t>Loan: Huntington Bank, 25 Trailers (March 2022). Source: Meiborg_Debt_Schedule_202511.xlsx</t>
      </text>
    </comment>
    <comment ref="F123" authorId="0" shapeId="0">
      <text>
        <t>Loan: Huntington Bank, 25 Trailers (March 2022). Source: Meiborg_Debt_Schedule_202511.xlsx</t>
      </text>
    </comment>
    <comment ref="C124" authorId="0" shapeId="0">
      <text>
        <t>Loan: Huntington Bank, 25 Trailers (March 2022). Source: Meiborg_Debt_Schedule_202511.xlsx</t>
      </text>
    </comment>
    <comment ref="D124" authorId="0" shapeId="0">
      <text>
        <t>Loan: Huntington Bank, 25 Trailers (March 2022). Source: Meiborg_Debt_Schedule_202511.xlsx</t>
      </text>
    </comment>
    <comment ref="E124" authorId="0" shapeId="0">
      <text>
        <t>Loan: Huntington Bank, 25 Trailers (March 2022). Source: Meiborg_Debt_Schedule_202511.xlsx</t>
      </text>
    </comment>
    <comment ref="F124" authorId="0" shapeId="0">
      <text>
        <t>Loan: Huntington Bank, 25 Trailers (March 2022). Source: Meiborg_Debt_Schedule_202511.xlsx</t>
      </text>
    </comment>
    <comment ref="C125" authorId="0" shapeId="0">
      <text>
        <t>Loan: Huntington Bank, 25 Trailers (March 2022). Source: Meiborg_Debt_Schedule_202511.xlsx</t>
      </text>
    </comment>
    <comment ref="D125" authorId="0" shapeId="0">
      <text>
        <t>Loan: Huntington Bank, 25 Trailers (March 2022). Source: Meiborg_Debt_Schedule_202511.xlsx</t>
      </text>
    </comment>
    <comment ref="E125" authorId="0" shapeId="0">
      <text>
        <t>Loan: Huntington Bank, 25 Trailers (March 2022). Source: Meiborg_Debt_Schedule_202511.xlsx</t>
      </text>
    </comment>
    <comment ref="F125" authorId="0" shapeId="0">
      <text>
        <t>Loan: Huntington Bank, 25 Trailers (March 2022). Source: Meiborg_Debt_Schedule_202511.xlsx</t>
      </text>
    </comment>
    <comment ref="C126" authorId="0" shapeId="0">
      <text>
        <t>Loan: Huntington Bank, 25 Trailers (March 2022). Source: Meiborg_Debt_Schedule_202511.xlsx</t>
      </text>
    </comment>
    <comment ref="D126" authorId="0" shapeId="0">
      <text>
        <t>Loan: Huntington Bank, 25 Trailers (March 2022). Source: Meiborg_Debt_Schedule_202511.xlsx</t>
      </text>
    </comment>
    <comment ref="E126" authorId="0" shapeId="0">
      <text>
        <t>Loan: Huntington Bank, 25 Trailers (March 2022). Source: Meiborg_Debt_Schedule_202511.xlsx</t>
      </text>
    </comment>
    <comment ref="F126" authorId="0" shapeId="0">
      <text>
        <t>Loan: Huntington Bank, 25 Trailers (March 2022). Source: Meiborg_Debt_Schedule_202511.xlsx</t>
      </text>
    </comment>
    <comment ref="C127" authorId="0" shapeId="0">
      <text>
        <t>Loan: Huntington Bank, 25 Trailers (March 2022). Source: Meiborg_Debt_Schedule_202511.xlsx</t>
      </text>
    </comment>
    <comment ref="D127" authorId="0" shapeId="0">
      <text>
        <t>Loan: Huntington Bank, 25 Trailers (March 2022). Source: Meiborg_Debt_Schedule_202511.xlsx</t>
      </text>
    </comment>
    <comment ref="E127" authorId="0" shapeId="0">
      <text>
        <t>Loan: Huntington Bank, 25 Trailers (March 2022). Source: Meiborg_Debt_Schedule_202511.xlsx</t>
      </text>
    </comment>
    <comment ref="F127" authorId="0" shapeId="0">
      <text>
        <t>Loan: Huntington Bank, 25 Trailers (March 2022). Source: Meiborg_Debt_Schedule_202511.xlsx</t>
      </text>
    </comment>
    <comment ref="C128" authorId="0" shapeId="0">
      <text>
        <t>Loan: Huntington Bank, 25 Trailers (March 2022). Source: Meiborg_Debt_Schedule_202511.xlsx</t>
      </text>
    </comment>
    <comment ref="D128" authorId="0" shapeId="0">
      <text>
        <t>Loan: Huntington Bank, 25 Trailers (March 2022). Source: Meiborg_Debt_Schedule_202511.xlsx</t>
      </text>
    </comment>
    <comment ref="E128" authorId="0" shapeId="0">
      <text>
        <t>Loan: Huntington Bank, 25 Trailers (March 2022). Source: Meiborg_Debt_Schedule_202511.xlsx</t>
      </text>
    </comment>
    <comment ref="F128" authorId="0" shapeId="0">
      <text>
        <t>Loan: Huntington Bank, 25 Trailers (March 2022). Source: Meiborg_Debt_Schedule_202511.xlsx</t>
      </text>
    </comment>
    <comment ref="C129" authorId="0" shapeId="0">
      <text>
        <t>Loan: Huntington Bank, 25 Trailers (March 2022). Source: Meiborg_Debt_Schedule_202511.xlsx</t>
      </text>
    </comment>
    <comment ref="D129" authorId="0" shapeId="0">
      <text>
        <t>Loan: Huntington Bank, 25 Trailers (March 2022). Source: Meiborg_Debt_Schedule_202511.xlsx</t>
      </text>
    </comment>
    <comment ref="E129" authorId="0" shapeId="0">
      <text>
        <t>Loan: Huntington Bank, 25 Trailers (March 2022). Source: Meiborg_Debt_Schedule_202511.xlsx</t>
      </text>
    </comment>
    <comment ref="F129" authorId="0" shapeId="0">
      <text>
        <t>Loan: Huntington Bank, 25 Trailers (March 2022). Source: Meiborg_Debt_Schedule_202511.xlsx</t>
      </text>
    </comment>
    <comment ref="C130" authorId="0" shapeId="0">
      <text>
        <t>Loan: Huntington Bank, 25 Trailers (March 2022). Source: Meiborg_Debt_Schedule_202511.xlsx</t>
      </text>
    </comment>
    <comment ref="D130" authorId="0" shapeId="0">
      <text>
        <t>Loan: Huntington Bank, 25 Trailers (March 2022). Source: Meiborg_Debt_Schedule_202511.xlsx</t>
      </text>
    </comment>
    <comment ref="E130" authorId="0" shapeId="0">
      <text>
        <t>Loan: Huntington Bank, 25 Trailers (March 2022). Source: Meiborg_Debt_Schedule_202511.xlsx</t>
      </text>
    </comment>
    <comment ref="F130" authorId="0" shapeId="0">
      <text>
        <t>Loan: Huntington Bank, 25 Trailers (March 2022). Source: Meiborg_Debt_Schedule_202511.xlsx</t>
      </text>
    </comment>
    <comment ref="C131" authorId="0" shapeId="0">
      <text>
        <t>Loan: Huntington Bank, 25 Trailers (March 2022). Source: Meiborg_Debt_Schedule_202511.xlsx</t>
      </text>
    </comment>
    <comment ref="D131" authorId="0" shapeId="0">
      <text>
        <t>Loan: Huntington Bank, 25 Trailers (March 2022). Source: Meiborg_Debt_Schedule_202511.xlsx</t>
      </text>
    </comment>
    <comment ref="E131" authorId="0" shapeId="0">
      <text>
        <t>Loan: Huntington Bank, 25 Trailers (March 2022). Source: Meiborg_Debt_Schedule_202511.xlsx</t>
      </text>
    </comment>
    <comment ref="F131" authorId="0" shapeId="0">
      <text>
        <t>Loan: Huntington Bank, 25 Trailers (March 2022). Source: Meiborg_Debt_Schedule_202511.xlsx</t>
      </text>
    </comment>
    <comment ref="C132" authorId="0" shapeId="0">
      <text>
        <t>Loan: Huntington Bank, 25 Trailers (March 2022). Source: Meiborg_Debt_Schedule_202511.xlsx</t>
      </text>
    </comment>
    <comment ref="D132" authorId="0" shapeId="0">
      <text>
        <t>Loan: Huntington Bank, 25 Trailers (March 2022). Source: Meiborg_Debt_Schedule_202511.xlsx</t>
      </text>
    </comment>
    <comment ref="E132" authorId="0" shapeId="0">
      <text>
        <t>Loan: Huntington Bank, 25 Trailers (March 2022). Source: Meiborg_Debt_Schedule_202511.xlsx</t>
      </text>
    </comment>
    <comment ref="F132" authorId="0" shapeId="0">
      <text>
        <t>Loan: Huntington Bank, 25 Trailers (March 2022). Source: Meiborg_Debt_Schedule_202511.xlsx</t>
      </text>
    </comment>
    <comment ref="C133" authorId="0" shapeId="0">
      <text>
        <t>Loan: Huntington Bank, 25 Trailers (March 2022). Source: Meiborg_Debt_Schedule_202511.xlsx</t>
      </text>
    </comment>
    <comment ref="D133" authorId="0" shapeId="0">
      <text>
        <t>Loan: Huntington Bank, 25 Trailers (March 2022). Source: Meiborg_Debt_Schedule_202511.xlsx</t>
      </text>
    </comment>
    <comment ref="E133" authorId="0" shapeId="0">
      <text>
        <t>Loan: Huntington Bank, 25 Trailers (March 2022). Source: Meiborg_Debt_Schedule_202511.xlsx</t>
      </text>
    </comment>
    <comment ref="F133" authorId="0" shapeId="0">
      <text>
        <t>Loan: Huntington Bank, 25 Trailers (March 2022). Source: Meiborg_Debt_Schedule_202511.xlsx</t>
      </text>
    </comment>
    <comment ref="C134" authorId="0" shapeId="0">
      <text>
        <t>Loan: Huntington Bank, 25 Trailers (March 2022). Source: Meiborg_Debt_Schedule_202511.xlsx</t>
      </text>
    </comment>
    <comment ref="D134" authorId="0" shapeId="0">
      <text>
        <t>Loan: Huntington Bank, 25 Trailers (March 2022). Source: Meiborg_Debt_Schedule_202511.xlsx</t>
      </text>
    </comment>
    <comment ref="E134" authorId="0" shapeId="0">
      <text>
        <t>Loan: Huntington Bank, 25 Trailers (March 2022). Source: Meiborg_Debt_Schedule_202511.xlsx</t>
      </text>
    </comment>
    <comment ref="F134" authorId="0" shapeId="0">
      <text>
        <t>Loan: Huntington Bank, 25 Trailers (March 2022). Source: Meiborg_Debt_Schedule_202511.xlsx</t>
      </text>
    </comment>
    <comment ref="C135" authorId="0" shapeId="0">
      <text>
        <t>Loan: Huntington Bank, 25 Trailers (March 2022). Source: Meiborg_Debt_Schedule_202511.xlsx</t>
      </text>
    </comment>
    <comment ref="D135" authorId="0" shapeId="0">
      <text>
        <t>Loan: Huntington Bank, 25 Trailers (March 2022). Source: Meiborg_Debt_Schedule_202511.xlsx</t>
      </text>
    </comment>
    <comment ref="E135" authorId="0" shapeId="0">
      <text>
        <t>Loan: Huntington Bank, 25 Trailers (March 2022). Source: Meiborg_Debt_Schedule_202511.xlsx</t>
      </text>
    </comment>
    <comment ref="F135" authorId="0" shapeId="0">
      <text>
        <t>Loan: Huntington Bank, 25 Trailers (March 2022). Source: Meiborg_Debt_Schedule_202511.xlsx</t>
      </text>
    </comment>
    <comment ref="C136" authorId="0" shapeId="0">
      <text>
        <t>Loan: Huntington Bank, 25 Trailers (March 2022). Source: Meiborg_Debt_Schedule_202511.xlsx</t>
      </text>
    </comment>
    <comment ref="D136" authorId="0" shapeId="0">
      <text>
        <t>Loan: Huntington Bank, 25 Trailers (March 2022). Source: Meiborg_Debt_Schedule_202511.xlsx</t>
      </text>
    </comment>
    <comment ref="E136" authorId="0" shapeId="0">
      <text>
        <t>Loan: Huntington Bank, 25 Trailers (March 2022). Source: Meiborg_Debt_Schedule_202511.xlsx</t>
      </text>
    </comment>
    <comment ref="F136" authorId="0" shapeId="0">
      <text>
        <t>Loan: Huntington Bank, 25 Trailers (March 2022). Source: Meiborg_Debt_Schedule_202511.xlsx</t>
      </text>
    </comment>
    <comment ref="C137" authorId="0" shapeId="0">
      <text>
        <t>Loan: Huntington Bank, 25 Trailers (March 2022). Source: Meiborg_Debt_Schedule_202511.xlsx</t>
      </text>
    </comment>
    <comment ref="D137" authorId="0" shapeId="0">
      <text>
        <t>Loan: Huntington Bank, 25 Trailers (March 2022). Source: Meiborg_Debt_Schedule_202511.xlsx</t>
      </text>
    </comment>
    <comment ref="E137" authorId="0" shapeId="0">
      <text>
        <t>Loan: Huntington Bank, 25 Trailers (March 2022). Source: Meiborg_Debt_Schedule_202511.xlsx</t>
      </text>
    </comment>
    <comment ref="F137" authorId="0" shapeId="0">
      <text>
        <t>Loan: Huntington Bank, 25 Trailers (March 2022). Source: Meiborg_Debt_Schedule_202511.xlsx</t>
      </text>
    </comment>
    <comment ref="C138" authorId="0" shapeId="0">
      <text>
        <t>Loan: Huntington Bank, 25 Trailers (March 2022). Source: Meiborg_Debt_Schedule_202511.xlsx</t>
      </text>
    </comment>
    <comment ref="D138" authorId="0" shapeId="0">
      <text>
        <t>Loan: Huntington Bank, 25 Trailers (March 2022). Source: Meiborg_Debt_Schedule_202511.xlsx</t>
      </text>
    </comment>
    <comment ref="E138" authorId="0" shapeId="0">
      <text>
        <t>Loan: Huntington Bank, 25 Trailers (March 2022). Source: Meiborg_Debt_Schedule_202511.xlsx</t>
      </text>
    </comment>
    <comment ref="F138" authorId="0" shapeId="0">
      <text>
        <t>Loan: Huntington Bank, 25 Trailers (March 2022). Source: Meiborg_Debt_Schedule_202511.xlsx</t>
      </text>
    </comment>
    <comment ref="C139" authorId="0" shapeId="0">
      <text>
        <t>Loan: Huntington Bank, 25 Trailers (March 2022). Source: Meiborg_Debt_Schedule_202511.xlsx</t>
      </text>
    </comment>
    <comment ref="D139" authorId="0" shapeId="0">
      <text>
        <t>Loan: Huntington Bank, 25 Trailers (March 2022). Source: Meiborg_Debt_Schedule_202511.xlsx</t>
      </text>
    </comment>
    <comment ref="E139" authorId="0" shapeId="0">
      <text>
        <t>Loan: Huntington Bank, 25 Trailers (March 2022). Source: Meiborg_Debt_Schedule_202511.xlsx</t>
      </text>
    </comment>
    <comment ref="F139" authorId="0" shapeId="0">
      <text>
        <t>Loan: Huntington Bank, 25 Trailers (March 2022). Source: Meiborg_Debt_Schedule_202511.xlsx</t>
      </text>
    </comment>
    <comment ref="C140" authorId="0" shapeId="0">
      <text>
        <t>Loan: Huntington Bank, 25 Trailers (March 2022). Source: Meiborg_Debt_Schedule_202511.xlsx</t>
      </text>
    </comment>
    <comment ref="D140" authorId="0" shapeId="0">
      <text>
        <t>Loan: Huntington Bank, 25 Trailers (March 2022). Source: Meiborg_Debt_Schedule_202511.xlsx</t>
      </text>
    </comment>
    <comment ref="E140" authorId="0" shapeId="0">
      <text>
        <t>Loan: Huntington Bank, 25 Trailers (March 2022). Source: Meiborg_Debt_Schedule_202511.xlsx</t>
      </text>
    </comment>
    <comment ref="F140" authorId="0" shapeId="0">
      <text>
        <t>Loan: Huntington Bank, 25 Trailers (March 2022). Source: Meiborg_Debt_Schedule_202511.xlsx</t>
      </text>
    </comment>
    <comment ref="C141" authorId="0" shapeId="0">
      <text>
        <t>Loan: Huntington Bank, 25 Trailers (March 2022). Source: Meiborg_Debt_Schedule_202511.xlsx</t>
      </text>
    </comment>
    <comment ref="D141" authorId="0" shapeId="0">
      <text>
        <t>Loan: Huntington Bank, 25 Trailers (March 2022). Source: Meiborg_Debt_Schedule_202511.xlsx</t>
      </text>
    </comment>
    <comment ref="E141" authorId="0" shapeId="0">
      <text>
        <t>Loan: Huntington Bank, 25 Trailers (March 2022). Source: Meiborg_Debt_Schedule_202511.xlsx</t>
      </text>
    </comment>
    <comment ref="F141" authorId="0" shapeId="0">
      <text>
        <t>Loan: Huntington Bank, 25 Trailers (March 2022). Source: Meiborg_Debt_Schedule_202511.xlsx</t>
      </text>
    </comment>
    <comment ref="C142" authorId="0" shapeId="0">
      <text>
        <t>Loan: Huntington Bank, 25 Trailers (March 2022). Source: Meiborg_Debt_Schedule_202511.xlsx</t>
      </text>
    </comment>
    <comment ref="D142" authorId="0" shapeId="0">
      <text>
        <t>Loan: Huntington Bank, 25 Trailers (March 2022). Source: Meiborg_Debt_Schedule_202511.xlsx</t>
      </text>
    </comment>
    <comment ref="E142" authorId="0" shapeId="0">
      <text>
        <t>Loan: Huntington Bank, 25 Trailers (March 2022). Source: Meiborg_Debt_Schedule_202511.xlsx</t>
      </text>
    </comment>
    <comment ref="F142" authorId="0" shapeId="0">
      <text>
        <t>Loan: Huntington Bank, 25 Trailers (March 2022). Source: Meiborg_Debt_Schedule_202511.xlsx</t>
      </text>
    </comment>
    <comment ref="C143" authorId="0" shapeId="0">
      <text>
        <t>Loan: Huntington Bank, 25 Trailers (March 2022). Source: Meiborg_Debt_Schedule_202511.xlsx</t>
      </text>
    </comment>
    <comment ref="D143" authorId="0" shapeId="0">
      <text>
        <t>Loan: Huntington Bank, 25 Trailers (March 2022). Source: Meiborg_Debt_Schedule_202511.xlsx</t>
      </text>
    </comment>
    <comment ref="E143" authorId="0" shapeId="0">
      <text>
        <t>Loan: Huntington Bank, 25 Trailers (March 2022). Source: Meiborg_Debt_Schedule_202511.xlsx</t>
      </text>
    </comment>
    <comment ref="F143" authorId="0" shapeId="0">
      <text>
        <t>Loan: Huntington Bank, 25 Trailers (March 2022). Source: Meiborg_Debt_Schedule_202511.xlsx</t>
      </text>
    </comment>
    <comment ref="C144" authorId="0" shapeId="0">
      <text>
        <t>Loan: Huntington Bank, 25 Trailers (March 2022). Source: Meiborg_Debt_Schedule_202511.xlsx</t>
      </text>
    </comment>
    <comment ref="D144" authorId="0" shapeId="0">
      <text>
        <t>Loan: Huntington Bank, 25 Trailers (March 2022). Source: Meiborg_Debt_Schedule_202511.xlsx</t>
      </text>
    </comment>
    <comment ref="E144" authorId="0" shapeId="0">
      <text>
        <t>Loan: Huntington Bank, 25 Trailers (March 2022). Source: Meiborg_Debt_Schedule_202511.xlsx</t>
      </text>
    </comment>
    <comment ref="F144" authorId="0" shapeId="0">
      <text>
        <t>Loan: Huntington Bank, 25 Trailers (March 2022). Source: Meiborg_Debt_Schedule_202511.xlsx</t>
      </text>
    </comment>
    <comment ref="C145" authorId="0" shapeId="0">
      <text>
        <t>Loan: Huntington Bank, 25 Trailers (March 2022). Source: Meiborg_Debt_Schedule_202511.xlsx</t>
      </text>
    </comment>
    <comment ref="D145" authorId="0" shapeId="0">
      <text>
        <t>Loan: Huntington Bank, 25 Trailers (March 2022). Source: Meiborg_Debt_Schedule_202511.xlsx</t>
      </text>
    </comment>
    <comment ref="E145" authorId="0" shapeId="0">
      <text>
        <t>Loan: Huntington Bank, 25 Trailers (March 2022). Source: Meiborg_Debt_Schedule_202511.xlsx</t>
      </text>
    </comment>
    <comment ref="F145" authorId="0" shapeId="0">
      <text>
        <t>Loan: Huntington Bank, 25 Trailers (March 2022). Source: Meiborg_Debt_Schedule_202511.xlsx</t>
      </text>
    </comment>
    <comment ref="C146" authorId="0" shapeId="0">
      <text>
        <t>Loan: Huntington Bank, 25 Trailers (March 2022). Source: Meiborg_Debt_Schedule_202511.xlsx</t>
      </text>
    </comment>
    <comment ref="D146" authorId="0" shapeId="0">
      <text>
        <t>Loan: Huntington Bank, 25 Trailers (March 2022). Source: Meiborg_Debt_Schedule_202511.xlsx</t>
      </text>
    </comment>
    <comment ref="E146" authorId="0" shapeId="0">
      <text>
        <t>Loan: Huntington Bank, 25 Trailers (March 2022). Source: Meiborg_Debt_Schedule_202511.xlsx</t>
      </text>
    </comment>
    <comment ref="F146" authorId="0" shapeId="0">
      <text>
        <t>Loan: Huntington Bank, 25 Trailers (March 2022). Source: Meiborg_Debt_Schedule_202511.xlsx</t>
      </text>
    </comment>
    <comment ref="C147" authorId="0" shapeId="0">
      <text>
        <t>Loan: Huntington Bank, 25 Trailers (March 2022). Source: Meiborg_Debt_Schedule_202511.xlsx</t>
      </text>
    </comment>
    <comment ref="D147" authorId="0" shapeId="0">
      <text>
        <t>Loan: Huntington Bank, 25 Trailers (March 2022). Source: Meiborg_Debt_Schedule_202511.xlsx</t>
      </text>
    </comment>
    <comment ref="E147" authorId="0" shapeId="0">
      <text>
        <t>Loan: Huntington Bank, 25 Trailers (March 2022). Source: Meiborg_Debt_Schedule_202511.xlsx</t>
      </text>
    </comment>
    <comment ref="F147" authorId="0" shapeId="0">
      <text>
        <t>Loan: Huntington Bank, 25 Trailers (March 2022). Source: Meiborg_Debt_Schedule_202511.xlsx</t>
      </text>
    </comment>
    <comment ref="C148" authorId="0" shapeId="0">
      <text>
        <t>Loan: Huntington Bank, 25 Trailers (March 2022). Source: Meiborg_Debt_Schedule_202511.xlsx</t>
      </text>
    </comment>
    <comment ref="D148" authorId="0" shapeId="0">
      <text>
        <t>Loan: Huntington Bank, 25 Trailers (March 2022). Source: Meiborg_Debt_Schedule_202511.xlsx</t>
      </text>
    </comment>
    <comment ref="E148" authorId="0" shapeId="0">
      <text>
        <t>Loan: Huntington Bank, 25 Trailers (March 2022). Source: Meiborg_Debt_Schedule_202511.xlsx</t>
      </text>
    </comment>
    <comment ref="F148" authorId="0" shapeId="0">
      <text>
        <t>Loan: Huntington Bank, 25 Trailers (March 2022). Source: Meiborg_Debt_Schedule_202511.xlsx</t>
      </text>
    </comment>
    <comment ref="C149" authorId="0" shapeId="0">
      <text>
        <t>Loan: Huntington Bank, 25 Trailers (March 2022). Source: Meiborg_Debt_Schedule_202511.xlsx</t>
      </text>
    </comment>
    <comment ref="D149" authorId="0" shapeId="0">
      <text>
        <t>Loan: Huntington Bank, 25 Trailers (March 2022). Source: Meiborg_Debt_Schedule_202511.xlsx</t>
      </text>
    </comment>
    <comment ref="E149" authorId="0" shapeId="0">
      <text>
        <t>Loan: Huntington Bank, 25 Trailers (March 2022). Source: Meiborg_Debt_Schedule_202511.xlsx</t>
      </text>
    </comment>
    <comment ref="F149" authorId="0" shapeId="0">
      <text>
        <t>Loan: Huntington Bank, 25 Trailers (March 2022). Source: Meiborg_Debt_Schedule_202511.xlsx</t>
      </text>
    </comment>
    <comment ref="C150" authorId="0" shapeId="0">
      <text>
        <t>Loan: Huntington Bank, 25 Trailers (March 2022). Source: Meiborg_Debt_Schedule_202511.xlsx</t>
      </text>
    </comment>
    <comment ref="D150" authorId="0" shapeId="0">
      <text>
        <t>Loan: Huntington Bank, 25 Trailers (March 2022). Source: Meiborg_Debt_Schedule_202511.xlsx</t>
      </text>
    </comment>
    <comment ref="E150" authorId="0" shapeId="0">
      <text>
        <t>Loan: Huntington Bank, 25 Trailers (March 2022). Source: Meiborg_Debt_Schedule_202511.xlsx</t>
      </text>
    </comment>
    <comment ref="F150" authorId="0" shapeId="0">
      <text>
        <t>Loan: Huntington Bank, 25 Trailers (March 2022). Source: Meiborg_Debt_Schedule_202511.xlsx</t>
      </text>
    </comment>
    <comment ref="C151" authorId="0" shapeId="0">
      <text>
        <t>Loan: Huntington Bank, 25 Trailers (March 2022). Source: Meiborg_Debt_Schedule_202511.xlsx</t>
      </text>
    </comment>
    <comment ref="D151" authorId="0" shapeId="0">
      <text>
        <t>Loan: Huntington Bank, 25 Trailers (March 2022). Source: Meiborg_Debt_Schedule_202511.xlsx</t>
      </text>
    </comment>
    <comment ref="E151" authorId="0" shapeId="0">
      <text>
        <t>Loan: Huntington Bank, 25 Trailers (March 2022). Source: Meiborg_Debt_Schedule_202511.xlsx</t>
      </text>
    </comment>
    <comment ref="F151" authorId="0" shapeId="0">
      <text>
        <t>Loan: Huntington Bank, 25 Trailers (March 2022). Source: Meiborg_Debt_Schedule_202511.xlsx</t>
      </text>
    </comment>
    <comment ref="C152" authorId="0" shapeId="0">
      <text>
        <t>Loan: Huntington Bank, 25 Trailers (March 2022). Source: Meiborg_Debt_Schedule_202511.xlsx</t>
      </text>
    </comment>
    <comment ref="D152" authorId="0" shapeId="0">
      <text>
        <t>Loan: Huntington Bank, 25 Trailers (March 2022). Source: Meiborg_Debt_Schedule_202511.xlsx</t>
      </text>
    </comment>
    <comment ref="E152" authorId="0" shapeId="0">
      <text>
        <t>Loan: Huntington Bank, 25 Trailers (March 2022). Source: Meiborg_Debt_Schedule_202511.xlsx</t>
      </text>
    </comment>
    <comment ref="F152" authorId="0" shapeId="0">
      <text>
        <t>Loan: Huntington Bank, 25 Trailers (March 2022). Source: Meiborg_Debt_Schedule_202511.xlsx</t>
      </text>
    </comment>
    <comment ref="C153" authorId="0" shapeId="0">
      <text>
        <t>Loan: Huntington Bank, 25 Trailers (March 2022). Source: Meiborg_Debt_Schedule_202511.xlsx</t>
      </text>
    </comment>
    <comment ref="D153" authorId="0" shapeId="0">
      <text>
        <t>Loan: Huntington Bank, 25 Trailers (March 2022). Source: Meiborg_Debt_Schedule_202511.xlsx</t>
      </text>
    </comment>
    <comment ref="E153" authorId="0" shapeId="0">
      <text>
        <t>Loan: Huntington Bank, 25 Trailers (March 2022). Source: Meiborg_Debt_Schedule_202511.xlsx</t>
      </text>
    </comment>
    <comment ref="F153" authorId="0" shapeId="0">
      <text>
        <t>Loan: Huntington Bank, 25 Trailers (March 2022). Source: Meiborg_Debt_Schedule_202511.xlsx</t>
      </text>
    </comment>
    <comment ref="C154" authorId="0" shapeId="0">
      <text>
        <t>Loan: Huntington Bank, 25 Trailers (March 2022). Source: Meiborg_Debt_Schedule_202511.xlsx</t>
      </text>
    </comment>
    <comment ref="D154" authorId="0" shapeId="0">
      <text>
        <t>Loan: Huntington Bank, 25 Trailers (March 2022). Source: Meiborg_Debt_Schedule_202511.xlsx</t>
      </text>
    </comment>
    <comment ref="E154" authorId="0" shapeId="0">
      <text>
        <t>Loan: Huntington Bank, 25 Trailers (March 2022). Source: Meiborg_Debt_Schedule_202511.xlsx</t>
      </text>
    </comment>
    <comment ref="F154" authorId="0" shapeId="0">
      <text>
        <t>Loan: Huntington Bank, 25 Trailers (March 2022). Source: Meiborg_Debt_Schedule_202511.xlsx</t>
      </text>
    </comment>
    <comment ref="C155" authorId="0" shapeId="0">
      <text>
        <t>Loan: Huntington Bank, 25 Trailers (March 2022). Source: Meiborg_Debt_Schedule_202511.xlsx</t>
      </text>
    </comment>
    <comment ref="D155" authorId="0" shapeId="0">
      <text>
        <t>Loan: Huntington Bank, 25 Trailers (March 2022). Source: Meiborg_Debt_Schedule_202511.xlsx</t>
      </text>
    </comment>
    <comment ref="E155" authorId="0" shapeId="0">
      <text>
        <t>Loan: Huntington Bank, 25 Trailers (March 2022). Source: Meiborg_Debt_Schedule_202511.xlsx</t>
      </text>
    </comment>
    <comment ref="F155" authorId="0" shapeId="0">
      <text>
        <t>Loan: Huntington Bank, 25 Trailers (March 2022). Source: Meiborg_Debt_Schedule_202511.xlsx</t>
      </text>
    </comment>
    <comment ref="C156" authorId="0" shapeId="0">
      <text>
        <t>Loan: Huntington Bank, 25 Trailers (March 2022). Source: Meiborg_Debt_Schedule_202511.xlsx</t>
      </text>
    </comment>
    <comment ref="D156" authorId="0" shapeId="0">
      <text>
        <t>Loan: Huntington Bank, 25 Trailers (March 2022). Source: Meiborg_Debt_Schedule_202511.xlsx</t>
      </text>
    </comment>
    <comment ref="E156" authorId="0" shapeId="0">
      <text>
        <t>Loan: Huntington Bank, 25 Trailers (March 2022). Source: Meiborg_Debt_Schedule_202511.xlsx</t>
      </text>
    </comment>
    <comment ref="F156" authorId="0" shapeId="0">
      <text>
        <t>Loan: Huntington Bank, 25 Trailers (March 2022). Source: Meiborg_Debt_Schedule_202511.xlsx</t>
      </text>
    </comment>
    <comment ref="C157" authorId="0" shapeId="0">
      <text>
        <t>Loan: Huntington Bank, 25 Trailers (March 2022). Source: Meiborg_Debt_Schedule_202511.xlsx</t>
      </text>
    </comment>
    <comment ref="D157" authorId="0" shapeId="0">
      <text>
        <t>Loan: Huntington Bank, 25 Trailers (March 2022). Source: Meiborg_Debt_Schedule_202511.xlsx</t>
      </text>
    </comment>
    <comment ref="E157" authorId="0" shapeId="0">
      <text>
        <t>Loan: Huntington Bank, 25 Trailers (March 2022). Source: Meiborg_Debt_Schedule_202511.xlsx</t>
      </text>
    </comment>
    <comment ref="F157" authorId="0" shapeId="0">
      <text>
        <t>Loan: Huntington Bank, 25 Trailers (March 2022). Source: Meiborg_Debt_Schedule_202511.xlsx</t>
      </text>
    </comment>
    <comment ref="C158" authorId="0" shapeId="0">
      <text>
        <t>Loan: Huntington Bank, 25 Trailers (March 2022). Source: Meiborg_Debt_Schedule_202511.xlsx</t>
      </text>
    </comment>
    <comment ref="D158" authorId="0" shapeId="0">
      <text>
        <t>Loan: Huntington Bank, 25 Trailers (March 2022). Source: Meiborg_Debt_Schedule_202511.xlsx</t>
      </text>
    </comment>
    <comment ref="E158" authorId="0" shapeId="0">
      <text>
        <t>Loan: Huntington Bank, 25 Trailers (March 2022). Source: Meiborg_Debt_Schedule_202511.xlsx</t>
      </text>
    </comment>
    <comment ref="F158" authorId="0" shapeId="0">
      <text>
        <t>Loan: Huntington Bank, 25 Trailers (March 2022). Source: Meiborg_Debt_Schedule_202511.xlsx</t>
      </text>
    </comment>
    <comment ref="C159" authorId="0" shapeId="0">
      <text>
        <t>Loan: Huntington Bank, 25 Trailers (March 2022). Source: Meiborg_Debt_Schedule_202511.xlsx</t>
      </text>
    </comment>
    <comment ref="D159" authorId="0" shapeId="0">
      <text>
        <t>Loan: Huntington Bank, 25 Trailers (March 2022). Source: Meiborg_Debt_Schedule_202511.xlsx</t>
      </text>
    </comment>
    <comment ref="E159" authorId="0" shapeId="0">
      <text>
        <t>Loan: Huntington Bank, 25 Trailers (March 2022). Source: Meiborg_Debt_Schedule_202511.xlsx</t>
      </text>
    </comment>
    <comment ref="F159" authorId="0" shapeId="0">
      <text>
        <t>Loan: Huntington Bank, 25 Trailers (March 2022). Source: Meiborg_Debt_Schedule_202511.xlsx</t>
      </text>
    </comment>
    <comment ref="C160" authorId="0" shapeId="0">
      <text>
        <t>Loan: Huntington Bank, 25 Trailers (March 2022). Source: Meiborg_Debt_Schedule_202511.xlsx</t>
      </text>
    </comment>
    <comment ref="D160" authorId="0" shapeId="0">
      <text>
        <t>Loan: Huntington Bank, 25 Trailers (March 2022). Source: Meiborg_Debt_Schedule_202511.xlsx</t>
      </text>
    </comment>
    <comment ref="E160" authorId="0" shapeId="0">
      <text>
        <t>Loan: Huntington Bank, 25 Trailers (March 2022). Source: Meiborg_Debt_Schedule_202511.xlsx</t>
      </text>
    </comment>
    <comment ref="F160" authorId="0" shapeId="0">
      <text>
        <t>Loan: Huntington Bank, 25 Trailers (March 2022). Source: Meiborg_Debt_Schedule_202511.xlsx</t>
      </text>
    </comment>
    <comment ref="C161" authorId="0" shapeId="0">
      <text>
        <t>Loan: Huntington Bank, 25 Trailers (March 2022). Source: Meiborg_Debt_Schedule_202511.xlsx</t>
      </text>
    </comment>
    <comment ref="D161" authorId="0" shapeId="0">
      <text>
        <t>Loan: Huntington Bank, 25 Trailers (March 2022). Source: Meiborg_Debt_Schedule_202511.xlsx</t>
      </text>
    </comment>
    <comment ref="E161" authorId="0" shapeId="0">
      <text>
        <t>Loan: Huntington Bank, 25 Trailers (March 2022). Source: Meiborg_Debt_Schedule_202511.xlsx</t>
      </text>
    </comment>
    <comment ref="F161" authorId="0" shapeId="0">
      <text>
        <t>Loan: Huntington Bank, 25 Trailers (March 2022). Source: Meiborg_Debt_Schedule_202511.xlsx</t>
      </text>
    </comment>
    <comment ref="C162" authorId="0" shapeId="0">
      <text>
        <t>Loan: Huntington Bank, 25 Trailers (March 2022). Source: Meiborg_Debt_Schedule_202511.xlsx</t>
      </text>
    </comment>
    <comment ref="D162" authorId="0" shapeId="0">
      <text>
        <t>Loan: Huntington Bank, 25 Trailers (March 2022). Source: Meiborg_Debt_Schedule_202511.xlsx</t>
      </text>
    </comment>
    <comment ref="E162" authorId="0" shapeId="0">
      <text>
        <t>Loan: Huntington Bank, 25 Trailers (March 2022). Source: Meiborg_Debt_Schedule_202511.xlsx</t>
      </text>
    </comment>
    <comment ref="F162" authorId="0" shapeId="0">
      <text>
        <t>Loan: Huntington Bank, 25 Trailers (March 2022). Source: Meiborg_Debt_Schedule_202511.xlsx</t>
      </text>
    </comment>
    <comment ref="C163" authorId="0" shapeId="0">
      <text>
        <t>Loan: Huntington Bank, 25 Trailers (March 2022). Source: Meiborg_Debt_Schedule_202511.xlsx</t>
      </text>
    </comment>
    <comment ref="D163" authorId="0" shapeId="0">
      <text>
        <t>Loan: Huntington Bank, 25 Trailers (March 2022). Source: Meiborg_Debt_Schedule_202511.xlsx</t>
      </text>
    </comment>
    <comment ref="E163" authorId="0" shapeId="0">
      <text>
        <t>Loan: Huntington Bank, 25 Trailers (March 2022). Source: Meiborg_Debt_Schedule_202511.xlsx</t>
      </text>
    </comment>
    <comment ref="F163" authorId="0" shapeId="0">
      <text>
        <t>Loan: Huntington Bank, 25 Trailers (March 2022). Source: Meiborg_Debt_Schedule_202511.xlsx</t>
      </text>
    </comment>
    <comment ref="C164" authorId="0" shapeId="0">
      <text>
        <t>Loan: Huntington Bank, 25 Trailers (March 2022). Source: Meiborg_Debt_Schedule_202511.xlsx</t>
      </text>
    </comment>
    <comment ref="D164" authorId="0" shapeId="0">
      <text>
        <t>Loan: Huntington Bank, 25 Trailers (March 2022). Source: Meiborg_Debt_Schedule_202511.xlsx</t>
      </text>
    </comment>
    <comment ref="E164" authorId="0" shapeId="0">
      <text>
        <t>Loan: Huntington Bank, 25 Trailers (March 2022). Source: Meiborg_Debt_Schedule_202511.xlsx</t>
      </text>
    </comment>
    <comment ref="F164" authorId="0" shapeId="0">
      <text>
        <t>Loan: Huntington Bank, 25 Trailers (March 2022). Source: Meiborg_Debt_Schedule_202511.xlsx</t>
      </text>
    </comment>
    <comment ref="C165" authorId="0" shapeId="0">
      <text>
        <t>Loan: Huntington Bank, 25 Trailers (March 2022). Source: Meiborg_Debt_Schedule_202511.xlsx</t>
      </text>
    </comment>
    <comment ref="D165" authorId="0" shapeId="0">
      <text>
        <t>Loan: Huntington Bank, 25 Trailers (March 2022). Source: Meiborg_Debt_Schedule_202511.xlsx</t>
      </text>
    </comment>
    <comment ref="E165" authorId="0" shapeId="0">
      <text>
        <t>Loan: Huntington Bank, 25 Trailers (March 2022). Source: Meiborg_Debt_Schedule_202511.xlsx</t>
      </text>
    </comment>
    <comment ref="F165" authorId="0" shapeId="0">
      <text>
        <t>Loan: Huntington Bank, 25 Trailers (March 2022). Source: Meiborg_Debt_Schedule_202511.xlsx</t>
      </text>
    </comment>
    <comment ref="C166" authorId="0" shapeId="0">
      <text>
        <t>Loan: Huntington Bank, 25 Trailers (March 2022). Source: Meiborg_Debt_Schedule_202511.xlsx</t>
      </text>
    </comment>
    <comment ref="D166" authorId="0" shapeId="0">
      <text>
        <t>Loan: Huntington Bank, 25 Trailers (March 2022). Source: Meiborg_Debt_Schedule_202511.xlsx</t>
      </text>
    </comment>
    <comment ref="E166" authorId="0" shapeId="0">
      <text>
        <t>Loan: Huntington Bank, 25 Trailers (March 2022). Source: Meiborg_Debt_Schedule_202511.xlsx</t>
      </text>
    </comment>
    <comment ref="F166" authorId="0" shapeId="0">
      <text>
        <t>Loan: Huntington Bank, 25 Trailers (March 2022). Source: Meiborg_Debt_Schedule_202511.xlsx</t>
      </text>
    </comment>
    <comment ref="C167" authorId="0" shapeId="0">
      <text>
        <t>Loan: Huntington Bank, 25 Trailers (March 2022). Source: Meiborg_Debt_Schedule_202511.xlsx</t>
      </text>
    </comment>
    <comment ref="D167" authorId="0" shapeId="0">
      <text>
        <t>Loan: Huntington Bank, 25 Trailers (March 2022). Source: Meiborg_Debt_Schedule_202511.xlsx</t>
      </text>
    </comment>
    <comment ref="E167" authorId="0" shapeId="0">
      <text>
        <t>Loan: Huntington Bank, 25 Trailers (March 2022). Source: Meiborg_Debt_Schedule_202511.xlsx</t>
      </text>
    </comment>
    <comment ref="F167" authorId="0" shapeId="0">
      <text>
        <t>Loan: Huntington Bank, 25 Trailers (March 2022). Source: Meiborg_Debt_Schedule_202511.xlsx</t>
      </text>
    </comment>
    <comment ref="C168" authorId="0" shapeId="0">
      <text>
        <t>Loan: Huntington Bank, 25 Trailers (March 2022). Source: Meiborg_Debt_Schedule_202511.xlsx</t>
      </text>
    </comment>
    <comment ref="D168" authorId="0" shapeId="0">
      <text>
        <t>Loan: Huntington Bank, 25 Trailers (March 2022). Source: Meiborg_Debt_Schedule_202511.xlsx</t>
      </text>
    </comment>
    <comment ref="E168" authorId="0" shapeId="0">
      <text>
        <t>Loan: Huntington Bank, 25 Trailers (March 2022). Source: Meiborg_Debt_Schedule_202511.xlsx</t>
      </text>
    </comment>
    <comment ref="F168" authorId="0" shapeId="0">
      <text>
        <t>Loan: Huntington Bank, 25 Trailers (March 2022). Source: Meiborg_Debt_Schedule_202511.xlsx</t>
      </text>
    </comment>
    <comment ref="C169" authorId="0" shapeId="0">
      <text>
        <t>Loan: Huntington Bank, 25 Trailers (March 2022). Source: Meiborg_Debt_Schedule_202511.xlsx</t>
      </text>
    </comment>
    <comment ref="D169" authorId="0" shapeId="0">
      <text>
        <t>Loan: Huntington Bank, 25 Trailers (March 2022). Source: Meiborg_Debt_Schedule_202511.xlsx</t>
      </text>
    </comment>
    <comment ref="E169" authorId="0" shapeId="0">
      <text>
        <t>Loan: Huntington Bank, 25 Trailers (March 2022). Source: Meiborg_Debt_Schedule_202511.xlsx</t>
      </text>
    </comment>
    <comment ref="F169" authorId="0" shapeId="0">
      <text>
        <t>Loan: Huntington Bank, 25 Trailers (March 2022). Source: Meiborg_Debt_Schedule_202511.xlsx</t>
      </text>
    </comment>
    <comment ref="C170" authorId="0" shapeId="0">
      <text>
        <t>Loan: Huntington Bank, 25 Trailers (March 2022). Source: Meiborg_Debt_Schedule_202511.xlsx</t>
      </text>
    </comment>
    <comment ref="D170" authorId="0" shapeId="0">
      <text>
        <t>Loan: Huntington Bank, 25 Trailers (March 2022). Source: Meiborg_Debt_Schedule_202511.xlsx</t>
      </text>
    </comment>
    <comment ref="E170" authorId="0" shapeId="0">
      <text>
        <t>Loan: Huntington Bank, 25 Trailers (March 2022). Source: Meiborg_Debt_Schedule_202511.xlsx</t>
      </text>
    </comment>
    <comment ref="F170" authorId="0" shapeId="0">
      <text>
        <t>Loan: Huntington Bank, 25 Trailers (March 2022). Source: Meiborg_Debt_Schedule_202511.xlsx</t>
      </text>
    </comment>
    <comment ref="C171" authorId="0" shapeId="0">
      <text>
        <t>Loan: Huntington Bank, 25 Trailers (March 2022). Source: Meiborg_Debt_Schedule_202511.xlsx</t>
      </text>
    </comment>
    <comment ref="D171" authorId="0" shapeId="0">
      <text>
        <t>Loan: Huntington Bank, 25 Trailers (March 2022). Source: Meiborg_Debt_Schedule_202511.xlsx</t>
      </text>
    </comment>
    <comment ref="E171" authorId="0" shapeId="0">
      <text>
        <t>Loan: Huntington Bank, 25 Trailers (March 2022). Source: Meiborg_Debt_Schedule_202511.xlsx</t>
      </text>
    </comment>
    <comment ref="F171" authorId="0" shapeId="0">
      <text>
        <t>Loan: Huntington Bank, 25 Trailers (March 2022). Source: Meiborg_Debt_Schedule_202511.xlsx</t>
      </text>
    </comment>
    <comment ref="C172" authorId="0" shapeId="0">
      <text>
        <t>Loan: Huntington Bank, 25 Trailers (March 2022). Source: Meiborg_Debt_Schedule_202511.xlsx</t>
      </text>
    </comment>
    <comment ref="D172" authorId="0" shapeId="0">
      <text>
        <t>Loan: Huntington Bank, 25 Trailers (March 2022). Source: Meiborg_Debt_Schedule_202511.xlsx</t>
      </text>
    </comment>
    <comment ref="E172" authorId="0" shapeId="0">
      <text>
        <t>Loan: Huntington Bank, 25 Trailers (March 2022). Source: Meiborg_Debt_Schedule_202511.xlsx</t>
      </text>
    </comment>
    <comment ref="F172" authorId="0" shapeId="0">
      <text>
        <t>Loan: Huntington Bank, 25 Trailers (March 2022). Source: Meiborg_Debt_Schedule_202511.xlsx</t>
      </text>
    </comment>
    <comment ref="C173" authorId="0" shapeId="0">
      <text>
        <t>Loan: Huntington Bank, 25 Trailers (March 2022). Source: Meiborg_Debt_Schedule_202511.xlsx</t>
      </text>
    </comment>
    <comment ref="D173" authorId="0" shapeId="0">
      <text>
        <t>Loan: Huntington Bank, 25 Trailers (March 2022). Source: Meiborg_Debt_Schedule_202511.xlsx</t>
      </text>
    </comment>
    <comment ref="E173" authorId="0" shapeId="0">
      <text>
        <t>Loan: Huntington Bank, 25 Trailers (March 2022). Source: Meiborg_Debt_Schedule_202511.xlsx</t>
      </text>
    </comment>
    <comment ref="F173" authorId="0" shapeId="0">
      <text>
        <t>Loan: Huntington Bank, 25 Trailers (March 2022). Source: Meiborg_Debt_Schedule_202511.xlsx</t>
      </text>
    </comment>
    <comment ref="C174" authorId="0" shapeId="0">
      <text>
        <t>Loan: Huntington Bank, 25 Trailers (March 2022). Source: Meiborg_Debt_Schedule_202511.xlsx</t>
      </text>
    </comment>
    <comment ref="D174" authorId="0" shapeId="0">
      <text>
        <t>Loan: Huntington Bank, 25 Trailers (March 2022). Source: Meiborg_Debt_Schedule_202511.xlsx</t>
      </text>
    </comment>
    <comment ref="E174" authorId="0" shapeId="0">
      <text>
        <t>Loan: Huntington Bank, 25 Trailers (March 2022). Source: Meiborg_Debt_Schedule_202511.xlsx</t>
      </text>
    </comment>
    <comment ref="F174" authorId="0" shapeId="0">
      <text>
        <t>Loan: Huntington Bank, 25 Trailers (March 2022). Source: Meiborg_Debt_Schedule_202511.xlsx</t>
      </text>
    </comment>
    <comment ref="C175" authorId="0" shapeId="0">
      <text>
        <t>Loan: Huntington Bank, 25 Trailers (March 2022). Source: Meiborg_Debt_Schedule_202511.xlsx</t>
      </text>
    </comment>
    <comment ref="D175" authorId="0" shapeId="0">
      <text>
        <t>Loan: Huntington Bank, 25 Trailers (March 2022). Source: Meiborg_Debt_Schedule_202511.xlsx</t>
      </text>
    </comment>
    <comment ref="E175" authorId="0" shapeId="0">
      <text>
        <t>Loan: Huntington Bank, 25 Trailers (March 2022). Source: Meiborg_Debt_Schedule_202511.xlsx</t>
      </text>
    </comment>
    <comment ref="F175" authorId="0" shapeId="0">
      <text>
        <t>Loan: Huntington Bank, 25 Trailers (March 2022). Source: Meiborg_Debt_Schedule_202511.xlsx</t>
      </text>
    </comment>
    <comment ref="C176" authorId="0" shapeId="0">
      <text>
        <t>Loan: Huntington Bank, 25 Trailers (March 2022). Source: Meiborg_Debt_Schedule_202511.xlsx</t>
      </text>
    </comment>
    <comment ref="D176" authorId="0" shapeId="0">
      <text>
        <t>Loan: Huntington Bank, 25 Trailers (March 2022). Source: Meiborg_Debt_Schedule_202511.xlsx</t>
      </text>
    </comment>
    <comment ref="E176" authorId="0" shapeId="0">
      <text>
        <t>Loan: Huntington Bank, 25 Trailers (March 2022). Source: Meiborg_Debt_Schedule_202511.xlsx</t>
      </text>
    </comment>
    <comment ref="F176" authorId="0" shapeId="0">
      <text>
        <t>Loan: Huntington Bank, 25 Trailers (March 2022). Source: Meiborg_Debt_Schedule_202511.xlsx</t>
      </text>
    </comment>
    <comment ref="C177" authorId="0" shapeId="0">
      <text>
        <t>Loan: Huntington Bank, 25 Trailers (March 2022). Source: Meiborg_Debt_Schedule_202511.xlsx</t>
      </text>
    </comment>
    <comment ref="D177" authorId="0" shapeId="0">
      <text>
        <t>Loan: Huntington Bank, 25 Trailers (March 2022). Source: Meiborg_Debt_Schedule_202511.xlsx</t>
      </text>
    </comment>
    <comment ref="E177" authorId="0" shapeId="0">
      <text>
        <t>Loan: Huntington Bank, 25 Trailers (March 2022). Source: Meiborg_Debt_Schedule_202511.xlsx</t>
      </text>
    </comment>
    <comment ref="F177" authorId="0" shapeId="0">
      <text>
        <t>Loan: Huntington Bank, 25 Trailers (March 2022). Source: Meiborg_Debt_Schedule_202511.xlsx</t>
      </text>
    </comment>
    <comment ref="C178" authorId="0" shapeId="0">
      <text>
        <t>Loan: Huntington Bank, 25 Trailers (March 2022). Source: Meiborg_Debt_Schedule_202511.xlsx</t>
      </text>
    </comment>
    <comment ref="D178" authorId="0" shapeId="0">
      <text>
        <t>Loan: Huntington Bank, 25 Trailers (March 2022). Source: Meiborg_Debt_Schedule_202511.xlsx</t>
      </text>
    </comment>
    <comment ref="E178" authorId="0" shapeId="0">
      <text>
        <t>Loan: Huntington Bank, 25 Trailers (March 2022). Source: Meiborg_Debt_Schedule_202511.xlsx</t>
      </text>
    </comment>
    <comment ref="F178" authorId="0" shapeId="0">
      <text>
        <t>Loan: Huntington Bank, 25 Trailers (March 2022). Source: Meiborg_Debt_Schedule_202511.xlsx</t>
      </text>
    </comment>
    <comment ref="C179" authorId="0" shapeId="0">
      <text>
        <t>Loan: Huntington Bank, 25 Trailers (March 2022). Source: Meiborg_Debt_Schedule_202511.xlsx</t>
      </text>
    </comment>
    <comment ref="D179" authorId="0" shapeId="0">
      <text>
        <t>Loan: Huntington Bank, 25 Trailers (March 2022). Source: Meiborg_Debt_Schedule_202511.xlsx</t>
      </text>
    </comment>
    <comment ref="E179" authorId="0" shapeId="0">
      <text>
        <t>Loan: Huntington Bank, 25 Trailers (March 2022). Source: Meiborg_Debt_Schedule_202511.xlsx</t>
      </text>
    </comment>
    <comment ref="F179" authorId="0" shapeId="0">
      <text>
        <t>Loan: Huntington Bank, 25 Trailers (March 2022). Source: Meiborg_Debt_Schedule_202511.xlsx</t>
      </text>
    </comment>
    <comment ref="C180" authorId="0" shapeId="0">
      <text>
        <t>Loan: Huntington Bank, 25 Trailers (March 2022). Source: Meiborg_Debt_Schedule_202511.xlsx</t>
      </text>
    </comment>
    <comment ref="D180" authorId="0" shapeId="0">
      <text>
        <t>Loan: Huntington Bank, 25 Trailers (March 2022). Source: Meiborg_Debt_Schedule_202511.xlsx</t>
      </text>
    </comment>
    <comment ref="E180" authorId="0" shapeId="0">
      <text>
        <t>Loan: Huntington Bank, 25 Trailers (March 2022). Source: Meiborg_Debt_Schedule_202511.xlsx</t>
      </text>
    </comment>
    <comment ref="F180" authorId="0" shapeId="0">
      <text>
        <t>Loan: Huntington Bank, 25 Trailers (March 2022). Source: Meiborg_Debt_Schedule_202511.xlsx</t>
      </text>
    </comment>
    <comment ref="C181" authorId="0" shapeId="0">
      <text>
        <t>Loan: Huntington Bank, 25 Trailers (March 2022). Source: Meiborg_Debt_Schedule_202511.xlsx</t>
      </text>
    </comment>
    <comment ref="D181" authorId="0" shapeId="0">
      <text>
        <t>Loan: Huntington Bank, 25 Trailers (March 2022). Source: Meiborg_Debt_Schedule_202511.xlsx</t>
      </text>
    </comment>
    <comment ref="E181" authorId="0" shapeId="0">
      <text>
        <t>Loan: Huntington Bank, 25 Trailers (March 2022). Source: Meiborg_Debt_Schedule_202511.xlsx</t>
      </text>
    </comment>
    <comment ref="F181" authorId="0" shapeId="0">
      <text>
        <t>Loan: Huntington Bank, 25 Trailers (March 2022). Source: Meiborg_Debt_Schedule_202511.xlsx</t>
      </text>
    </comment>
    <comment ref="C182" authorId="0" shapeId="0">
      <text>
        <t>Loan: Huntington Bank, 25 Trailers (March 2022). Source: Meiborg_Debt_Schedule_202511.xlsx</t>
      </text>
    </comment>
    <comment ref="D182" authorId="0" shapeId="0">
      <text>
        <t>Loan: Huntington Bank, 25 Trailers (March 2022). Source: Meiborg_Debt_Schedule_202511.xlsx</t>
      </text>
    </comment>
    <comment ref="E182" authorId="0" shapeId="0">
      <text>
        <t>Loan: Huntington Bank, 25 Trailers (March 2022). Source: Meiborg_Debt_Schedule_202511.xlsx</t>
      </text>
    </comment>
    <comment ref="F182" authorId="0" shapeId="0">
      <text>
        <t>Loan: Huntington Bank, 25 Trailers (March 2022). Source: Meiborg_Debt_Schedule_202511.xlsx</t>
      </text>
    </comment>
    <comment ref="C183" authorId="0" shapeId="0">
      <text>
        <t>Loan: Huntington Bank, 25 Trailers (March 2022). Source: Meiborg_Debt_Schedule_202511.xlsx</t>
      </text>
    </comment>
    <comment ref="D183" authorId="0" shapeId="0">
      <text>
        <t>Loan: Huntington Bank, 25 Trailers (March 2022). Source: Meiborg_Debt_Schedule_202511.xlsx</t>
      </text>
    </comment>
    <comment ref="E183" authorId="0" shapeId="0">
      <text>
        <t>Loan: Huntington Bank, 25 Trailers (March 2022). Source: Meiborg_Debt_Schedule_202511.xlsx</t>
      </text>
    </comment>
    <comment ref="F183" authorId="0" shapeId="0">
      <text>
        <t>Loan: Huntington Bank, 25 Trailers (March 2022). Source: Meiborg_Debt_Schedule_202511.xlsx</t>
      </text>
    </comment>
    <comment ref="C184" authorId="0" shapeId="0">
      <text>
        <t>Loan: Huntington Bank, 25 Trailers (March 2022). Source: Meiborg_Debt_Schedule_202511.xlsx</t>
      </text>
    </comment>
    <comment ref="D184" authorId="0" shapeId="0">
      <text>
        <t>Loan: Huntington Bank, 25 Trailers (March 2022). Source: Meiborg_Debt_Schedule_202511.xlsx</t>
      </text>
    </comment>
    <comment ref="E184" authorId="0" shapeId="0">
      <text>
        <t>Loan: Huntington Bank, 25 Trailers (March 2022). Source: Meiborg_Debt_Schedule_202511.xlsx</t>
      </text>
    </comment>
    <comment ref="F184" authorId="0" shapeId="0">
      <text>
        <t>Loan: Huntington Bank, 25 Trailers (March 2022). Source: Meiborg_Debt_Schedule_202511.xlsx</t>
      </text>
    </comment>
    <comment ref="C185" authorId="0" shapeId="0">
      <text>
        <t>Loan: Huntington Bank, 25 Trailers (March 2022). Source: Meiborg_Debt_Schedule_202511.xlsx</t>
      </text>
    </comment>
    <comment ref="D185" authorId="0" shapeId="0">
      <text>
        <t>Loan: Huntington Bank, 25 Trailers (March 2022). Source: Meiborg_Debt_Schedule_202511.xlsx</t>
      </text>
    </comment>
    <comment ref="E185" authorId="0" shapeId="0">
      <text>
        <t>Loan: Huntington Bank, 25 Trailers (March 2022). Source: Meiborg_Debt_Schedule_202511.xlsx</t>
      </text>
    </comment>
    <comment ref="F185" authorId="0" shapeId="0">
      <text>
        <t>Loan: Huntington Bank, 25 Trailers (March 2022). Source: Meiborg_Debt_Schedule_202511.xlsx</t>
      </text>
    </comment>
    <comment ref="C186" authorId="0" shapeId="0">
      <text>
        <t>Loan: Huntington Bank, 25 Trailers (March 2022). Source: Meiborg_Debt_Schedule_202511.xlsx</t>
      </text>
    </comment>
    <comment ref="D186" authorId="0" shapeId="0">
      <text>
        <t>Loan: Huntington Bank, 25 Trailers (March 2022). Source: Meiborg_Debt_Schedule_202511.xlsx</t>
      </text>
    </comment>
    <comment ref="E186" authorId="0" shapeId="0">
      <text>
        <t>Loan: Huntington Bank, 25 Trailers (March 2022). Source: Meiborg_Debt_Schedule_202511.xlsx</t>
      </text>
    </comment>
    <comment ref="F186" authorId="0" shapeId="0">
      <text>
        <t>Loan: Huntington Bank, 25 Trailers (March 2022). Source: Meiborg_Debt_Schedule_202511.xlsx</t>
      </text>
    </comment>
    <comment ref="C187" authorId="0" shapeId="0">
      <text>
        <t>Loan: Huntington Bank, 25 Trailers (March 2022). Source: Meiborg_Debt_Schedule_202511.xlsx</t>
      </text>
    </comment>
    <comment ref="D187" authorId="0" shapeId="0">
      <text>
        <t>Loan: Huntington Bank, 25 Trailers (March 2022). Source: Meiborg_Debt_Schedule_202511.xlsx</t>
      </text>
    </comment>
    <comment ref="E187" authorId="0" shapeId="0">
      <text>
        <t>Loan: Huntington Bank, 25 Trailers (March 2022). Source: Meiborg_Debt_Schedule_202511.xlsx</t>
      </text>
    </comment>
    <comment ref="F187" authorId="0" shapeId="0">
      <text>
        <t>Loan: Huntington Bank, 25 Trailers (March 2022). Source: Meiborg_Debt_Schedule_202511.xlsx</t>
      </text>
    </comment>
    <comment ref="C188" authorId="0" shapeId="0">
      <text>
        <t>Loan: Huntington Bank, 25 Trailers (March 2022). Source: Meiborg_Debt_Schedule_202511.xlsx</t>
      </text>
    </comment>
    <comment ref="D188" authorId="0" shapeId="0">
      <text>
        <t>Loan: Huntington Bank, 25 Trailers (March 2022). Source: Meiborg_Debt_Schedule_202511.xlsx</t>
      </text>
    </comment>
    <comment ref="E188" authorId="0" shapeId="0">
      <text>
        <t>Loan: Huntington Bank, 25 Trailers (March 2022). Source: Meiborg_Debt_Schedule_202511.xlsx</t>
      </text>
    </comment>
    <comment ref="F188" authorId="0" shapeId="0">
      <text>
        <t>Loan: Huntington Bank, 25 Trailers (March 2022). Source: Meiborg_Debt_Schedule_202511.xlsx</t>
      </text>
    </comment>
    <comment ref="C189" authorId="0" shapeId="0">
      <text>
        <t>Loan: Huntington Bank, 25 Trailers (March 2022). Source: Meiborg_Debt_Schedule_202511.xlsx</t>
      </text>
    </comment>
    <comment ref="D189" authorId="0" shapeId="0">
      <text>
        <t>Loan: Huntington Bank, 25 Trailers (March 2022). Source: Meiborg_Debt_Schedule_202511.xlsx</t>
      </text>
    </comment>
    <comment ref="E189" authorId="0" shapeId="0">
      <text>
        <t>Loan: Huntington Bank, 25 Trailers (March 2022). Source: Meiborg_Debt_Schedule_202511.xlsx</t>
      </text>
    </comment>
    <comment ref="F189" authorId="0" shapeId="0">
      <text>
        <t>Loan: Huntington Bank, 25 Trailers (March 2022). Source: Meiborg_Debt_Schedule_202511.xlsx</t>
      </text>
    </comment>
    <comment ref="C190" authorId="0" shapeId="0">
      <text>
        <t>Loan: Huntington Bank, 25 Trailers (March 2022). Source: Meiborg_Debt_Schedule_202511.xlsx</t>
      </text>
    </comment>
    <comment ref="D190" authorId="0" shapeId="0">
      <text>
        <t>Loan: Huntington Bank, 25 Trailers (March 2022). Source: Meiborg_Debt_Schedule_202511.xlsx</t>
      </text>
    </comment>
    <comment ref="E190" authorId="0" shapeId="0">
      <text>
        <t>Loan: Huntington Bank, 25 Trailers (March 2022). Source: Meiborg_Debt_Schedule_202511.xlsx</t>
      </text>
    </comment>
    <comment ref="F190" authorId="0" shapeId="0">
      <text>
        <t>Loan: Huntington Bank, 25 Trailers (March 2022). Source: Meiborg_Debt_Schedule_202511.xlsx</t>
      </text>
    </comment>
    <comment ref="C191" authorId="0" shapeId="0">
      <text>
        <t>Loan: Huntington Bank, 25 Trailers (March 2022). Source: Meiborg_Debt_Schedule_202511.xlsx</t>
      </text>
    </comment>
    <comment ref="D191" authorId="0" shapeId="0">
      <text>
        <t>Loan: Huntington Bank, 25 Trailers (March 2022). Source: Meiborg_Debt_Schedule_202511.xlsx</t>
      </text>
    </comment>
    <comment ref="E191" authorId="0" shapeId="0">
      <text>
        <t>Loan: Huntington Bank, 25 Trailers (March 2022). Source: Meiborg_Debt_Schedule_202511.xlsx</t>
      </text>
    </comment>
    <comment ref="F191" authorId="0" shapeId="0">
      <text>
        <t>Loan: Huntington Bank, 25 Trailers (March 2022). Source: Meiborg_Debt_Schedule_202511.xlsx</t>
      </text>
    </comment>
    <comment ref="D192" authorId="0" shapeId="0">
      <text>
        <t>Sum of rows 108-191: Total interest over loan term</t>
      </text>
    </comment>
    <comment ref="E192" authorId="0" shapeId="0">
      <text>
        <t>Sum of rows 108-191: Total principal over loan term</t>
      </text>
    </comment>
    <comment ref="B196" authorId="0" shapeId="0">
      <text>
        <t>Source: data/loans.md - Huntington Loan 3
Extracted: 2026-05-19</t>
      </text>
    </comment>
    <comment ref="B197" authorId="0" shapeId="0">
      <text>
        <t>Source: data/loans.md - Account number
Extracted: 2026-05-19</t>
      </text>
    </comment>
    <comment ref="B198" authorId="0" shapeId="0">
      <text>
        <t>Source: data/loans.md - Original loan amount at origination
Loan: Huntington Bank, 1 T880 DC &amp; 3 T680 Slprs (May 2022). Source: Meiborg_Debt_Schedule_202511.xlsx</t>
      </text>
    </comment>
    <comment ref="B199" authorId="0" shapeId="0">
      <text>
        <t>Source: data/loans.md - Interest rate 4.14%
Loan: Huntington Bank, 1 T880 DC &amp; 3 T680 Slprs (May 2022). Source: Meiborg_Debt_Schedule_202511.xlsx</t>
      </text>
    </comment>
    <comment ref="B200" authorId="0" shapeId="0">
      <text>
        <t>Driver: Calculated from origination 2022-05-03 to maturity 2027-11-03</t>
      </text>
    </comment>
    <comment ref="B201" authorId="0" shapeId="0">
      <text>
        <t>Source: data/loans.md - Monthly P&amp;I payment
Loan: Huntington Bank, 1 T880 DC &amp; 3 T680 Slprs (May 2022). Source: Meiborg_Debt_Schedule_202511.xlsx</t>
      </text>
    </comment>
    <comment ref="B202" authorId="0" shapeId="0">
      <text>
        <t>Loan type classification: Standard P&amp;I payments</t>
      </text>
    </comment>
    <comment ref="B203" authorId="0" shapeId="0">
      <text>
        <t>Source: data/loans.md - Equipment purpose</t>
      </text>
    </comment>
    <comment ref="B204" authorId="0" shapeId="0">
      <text>
        <t>Source: data/loans.md - Loan maturity date</t>
      </text>
    </comment>
    <comment ref="C210" authorId="0" shapeId="0">
      <text>
        <t>Loan: Huntington Bank, 1 T880 DC &amp; 3 T680 Slprs (May 2022). Source: Meiborg_Debt_Schedule_202511.xlsx</t>
      </text>
    </comment>
    <comment ref="D210" authorId="0" shapeId="0">
      <text>
        <t>Loan: Huntington Bank, 1 T880 DC &amp; 3 T680 Slprs (May 2022). Source: Meiborg_Debt_Schedule_202511.xlsx</t>
      </text>
    </comment>
    <comment ref="E210" authorId="0" shapeId="0">
      <text>
        <t>Loan: Huntington Bank, 1 T880 DC &amp; 3 T680 Slprs (May 2022). Source: Meiborg_Debt_Schedule_202511.xlsx</t>
      </text>
    </comment>
    <comment ref="F210" authorId="0" shapeId="0">
      <text>
        <t>Loan: Huntington Bank, 1 T880 DC &amp; 3 T680 Slprs (May 2022). Source: Meiborg_Debt_Schedule_202511.xlsx</t>
      </text>
    </comment>
    <comment ref="C211" authorId="0" shapeId="0">
      <text>
        <t>Loan: Huntington Bank, 1 T880 DC &amp; 3 T680 Slprs (May 2022). Source: Meiborg_Debt_Schedule_202511.xlsx</t>
      </text>
    </comment>
    <comment ref="D211" authorId="0" shapeId="0">
      <text>
        <t>Loan: Huntington Bank, 1 T880 DC &amp; 3 T680 Slprs (May 2022). Source: Meiborg_Debt_Schedule_202511.xlsx</t>
      </text>
    </comment>
    <comment ref="E211" authorId="0" shapeId="0">
      <text>
        <t>Loan: Huntington Bank, 1 T880 DC &amp; 3 T680 Slprs (May 2022). Source: Meiborg_Debt_Schedule_202511.xlsx</t>
      </text>
    </comment>
    <comment ref="F211" authorId="0" shapeId="0">
      <text>
        <t>Loan: Huntington Bank, 1 T880 DC &amp; 3 T680 Slprs (May 2022). Source: Meiborg_Debt_Schedule_202511.xlsx</t>
      </text>
    </comment>
    <comment ref="C212" authorId="0" shapeId="0">
      <text>
        <t>Loan: Huntington Bank, 1 T880 DC &amp; 3 T680 Slprs (May 2022). Source: Meiborg_Debt_Schedule_202511.xlsx</t>
      </text>
    </comment>
    <comment ref="D212" authorId="0" shapeId="0">
      <text>
        <t>Loan: Huntington Bank, 1 T880 DC &amp; 3 T680 Slprs (May 2022). Source: Meiborg_Debt_Schedule_202511.xlsx</t>
      </text>
    </comment>
    <comment ref="E212" authorId="0" shapeId="0">
      <text>
        <t>Loan: Huntington Bank, 1 T880 DC &amp; 3 T680 Slprs (May 2022). Source: Meiborg_Debt_Schedule_202511.xlsx</t>
      </text>
    </comment>
    <comment ref="F212" authorId="0" shapeId="0">
      <text>
        <t>Loan: Huntington Bank, 1 T880 DC &amp; 3 T680 Slprs (May 2022). Source: Meiborg_Debt_Schedule_202511.xlsx</t>
      </text>
    </comment>
    <comment ref="C213" authorId="0" shapeId="0">
      <text>
        <t>Loan: Huntington Bank, 1 T880 DC &amp; 3 T680 Slprs (May 2022). Source: Meiborg_Debt_Schedule_202511.xlsx</t>
      </text>
    </comment>
    <comment ref="D213" authorId="0" shapeId="0">
      <text>
        <t>Loan: Huntington Bank, 1 T880 DC &amp; 3 T680 Slprs (May 2022). Source: Meiborg_Debt_Schedule_202511.xlsx</t>
      </text>
    </comment>
    <comment ref="E213" authorId="0" shapeId="0">
      <text>
        <t>Loan: Huntington Bank, 1 T880 DC &amp; 3 T680 Slprs (May 2022). Source: Meiborg_Debt_Schedule_202511.xlsx</t>
      </text>
    </comment>
    <comment ref="F213" authorId="0" shapeId="0">
      <text>
        <t>Loan: Huntington Bank, 1 T880 DC &amp; 3 T680 Slprs (May 2022). Source: Meiborg_Debt_Schedule_202511.xlsx</t>
      </text>
    </comment>
    <comment ref="C214" authorId="0" shapeId="0">
      <text>
        <t>Loan: Huntington Bank, 1 T880 DC &amp; 3 T680 Slprs (May 2022). Source: Meiborg_Debt_Schedule_202511.xlsx</t>
      </text>
    </comment>
    <comment ref="D214" authorId="0" shapeId="0">
      <text>
        <t>Loan: Huntington Bank, 1 T880 DC &amp; 3 T680 Slprs (May 2022). Source: Meiborg_Debt_Schedule_202511.xlsx</t>
      </text>
    </comment>
    <comment ref="E214" authorId="0" shapeId="0">
      <text>
        <t>Loan: Huntington Bank, 1 T880 DC &amp; 3 T680 Slprs (May 2022). Source: Meiborg_Debt_Schedule_202511.xlsx</t>
      </text>
    </comment>
    <comment ref="F214" authorId="0" shapeId="0">
      <text>
        <t>Loan: Huntington Bank, 1 T880 DC &amp; 3 T680 Slprs (May 2022). Source: Meiborg_Debt_Schedule_202511.xlsx</t>
      </text>
    </comment>
    <comment ref="C215" authorId="0" shapeId="0">
      <text>
        <t>Loan: Huntington Bank, 1 T880 DC &amp; 3 T680 Slprs (May 2022). Source: Meiborg_Debt_Schedule_202511.xlsx</t>
      </text>
    </comment>
    <comment ref="D215" authorId="0" shapeId="0">
      <text>
        <t>Loan: Huntington Bank, 1 T880 DC &amp; 3 T680 Slprs (May 2022). Source: Meiborg_Debt_Schedule_202511.xlsx</t>
      </text>
    </comment>
    <comment ref="E215" authorId="0" shapeId="0">
      <text>
        <t>Loan: Huntington Bank, 1 T880 DC &amp; 3 T680 Slprs (May 2022). Source: Meiborg_Debt_Schedule_202511.xlsx</t>
      </text>
    </comment>
    <comment ref="F215" authorId="0" shapeId="0">
      <text>
        <t>Loan: Huntington Bank, 1 T880 DC &amp; 3 T680 Slprs (May 2022). Source: Meiborg_Debt_Schedule_202511.xlsx</t>
      </text>
    </comment>
    <comment ref="C216" authorId="0" shapeId="0">
      <text>
        <t>Loan: Huntington Bank, 1 T880 DC &amp; 3 T680 Slprs (May 2022). Source: Meiborg_Debt_Schedule_202511.xlsx</t>
      </text>
    </comment>
    <comment ref="D216" authorId="0" shapeId="0">
      <text>
        <t>Loan: Huntington Bank, 1 T880 DC &amp; 3 T680 Slprs (May 2022). Source: Meiborg_Debt_Schedule_202511.xlsx</t>
      </text>
    </comment>
    <comment ref="E216" authorId="0" shapeId="0">
      <text>
        <t>Loan: Huntington Bank, 1 T880 DC &amp; 3 T680 Slprs (May 2022). Source: Meiborg_Debt_Schedule_202511.xlsx</t>
      </text>
    </comment>
    <comment ref="F216" authorId="0" shapeId="0">
      <text>
        <t>Loan: Huntington Bank, 1 T880 DC &amp; 3 T680 Slprs (May 2022). Source: Meiborg_Debt_Schedule_202511.xlsx</t>
      </text>
    </comment>
    <comment ref="C217" authorId="0" shapeId="0">
      <text>
        <t>Loan: Huntington Bank, 1 T880 DC &amp; 3 T680 Slprs (May 2022). Source: Meiborg_Debt_Schedule_202511.xlsx</t>
      </text>
    </comment>
    <comment ref="D217" authorId="0" shapeId="0">
      <text>
        <t>Loan: Huntington Bank, 1 T880 DC &amp; 3 T680 Slprs (May 2022). Source: Meiborg_Debt_Schedule_202511.xlsx</t>
      </text>
    </comment>
    <comment ref="E217" authorId="0" shapeId="0">
      <text>
        <t>Loan: Huntington Bank, 1 T880 DC &amp; 3 T680 Slprs (May 2022). Source: Meiborg_Debt_Schedule_202511.xlsx</t>
      </text>
    </comment>
    <comment ref="F217" authorId="0" shapeId="0">
      <text>
        <t>Loan: Huntington Bank, 1 T880 DC &amp; 3 T680 Slprs (May 2022). Source: Meiborg_Debt_Schedule_202511.xlsx</t>
      </text>
    </comment>
    <comment ref="C218" authorId="0" shapeId="0">
      <text>
        <t>Loan: Huntington Bank, 1 T880 DC &amp; 3 T680 Slprs (May 2022). Source: Meiborg_Debt_Schedule_202511.xlsx</t>
      </text>
    </comment>
    <comment ref="D218" authorId="0" shapeId="0">
      <text>
        <t>Loan: Huntington Bank, 1 T880 DC &amp; 3 T680 Slprs (May 2022). Source: Meiborg_Debt_Schedule_202511.xlsx</t>
      </text>
    </comment>
    <comment ref="E218" authorId="0" shapeId="0">
      <text>
        <t>Loan: Huntington Bank, 1 T880 DC &amp; 3 T680 Slprs (May 2022). Source: Meiborg_Debt_Schedule_202511.xlsx</t>
      </text>
    </comment>
    <comment ref="F218" authorId="0" shapeId="0">
      <text>
        <t>Loan: Huntington Bank, 1 T880 DC &amp; 3 T680 Slprs (May 2022). Source: Meiborg_Debt_Schedule_202511.xlsx</t>
      </text>
    </comment>
    <comment ref="C219" authorId="0" shapeId="0">
      <text>
        <t>Loan: Huntington Bank, 1 T880 DC &amp; 3 T680 Slprs (May 2022). Source: Meiborg_Debt_Schedule_202511.xlsx</t>
      </text>
    </comment>
    <comment ref="D219" authorId="0" shapeId="0">
      <text>
        <t>Loan: Huntington Bank, 1 T880 DC &amp; 3 T680 Slprs (May 2022). Source: Meiborg_Debt_Schedule_202511.xlsx</t>
      </text>
    </comment>
    <comment ref="E219" authorId="0" shapeId="0">
      <text>
        <t>Loan: Huntington Bank, 1 T880 DC &amp; 3 T680 Slprs (May 2022). Source: Meiborg_Debt_Schedule_202511.xlsx</t>
      </text>
    </comment>
    <comment ref="F219" authorId="0" shapeId="0">
      <text>
        <t>Loan: Huntington Bank, 1 T880 DC &amp; 3 T680 Slprs (May 2022). Source: Meiborg_Debt_Schedule_202511.xlsx</t>
      </text>
    </comment>
    <comment ref="C220" authorId="0" shapeId="0">
      <text>
        <t>Loan: Huntington Bank, 1 T880 DC &amp; 3 T680 Slprs (May 2022). Source: Meiborg_Debt_Schedule_202511.xlsx</t>
      </text>
    </comment>
    <comment ref="D220" authorId="0" shapeId="0">
      <text>
        <t>Loan: Huntington Bank, 1 T880 DC &amp; 3 T680 Slprs (May 2022). Source: Meiborg_Debt_Schedule_202511.xlsx</t>
      </text>
    </comment>
    <comment ref="E220" authorId="0" shapeId="0">
      <text>
        <t>Loan: Huntington Bank, 1 T880 DC &amp; 3 T680 Slprs (May 2022). Source: Meiborg_Debt_Schedule_202511.xlsx</t>
      </text>
    </comment>
    <comment ref="F220" authorId="0" shapeId="0">
      <text>
        <t>Loan: Huntington Bank, 1 T880 DC &amp; 3 T680 Slprs (May 2022). Source: Meiborg_Debt_Schedule_202511.xlsx</t>
      </text>
    </comment>
    <comment ref="C221" authorId="0" shapeId="0">
      <text>
        <t>Loan: Huntington Bank, 1 T880 DC &amp; 3 T680 Slprs (May 2022). Source: Meiborg_Debt_Schedule_202511.xlsx</t>
      </text>
    </comment>
    <comment ref="D221" authorId="0" shapeId="0">
      <text>
        <t>Loan: Huntington Bank, 1 T880 DC &amp; 3 T680 Slprs (May 2022). Source: Meiborg_Debt_Schedule_202511.xlsx</t>
      </text>
    </comment>
    <comment ref="E221" authorId="0" shapeId="0">
      <text>
        <t>Loan: Huntington Bank, 1 T880 DC &amp; 3 T680 Slprs (May 2022). Source: Meiborg_Debt_Schedule_202511.xlsx</t>
      </text>
    </comment>
    <comment ref="F221" authorId="0" shapeId="0">
      <text>
        <t>Loan: Huntington Bank, 1 T880 DC &amp; 3 T680 Slprs (May 2022). Source: Meiborg_Debt_Schedule_202511.xlsx</t>
      </text>
    </comment>
    <comment ref="C222" authorId="0" shapeId="0">
      <text>
        <t>Loan: Huntington Bank, 1 T880 DC &amp; 3 T680 Slprs (May 2022). Source: Meiborg_Debt_Schedule_202511.xlsx</t>
      </text>
    </comment>
    <comment ref="D222" authorId="0" shapeId="0">
      <text>
        <t>Loan: Huntington Bank, 1 T880 DC &amp; 3 T680 Slprs (May 2022). Source: Meiborg_Debt_Schedule_202511.xlsx</t>
      </text>
    </comment>
    <comment ref="E222" authorId="0" shapeId="0">
      <text>
        <t>Loan: Huntington Bank, 1 T880 DC &amp; 3 T680 Slprs (May 2022). Source: Meiborg_Debt_Schedule_202511.xlsx</t>
      </text>
    </comment>
    <comment ref="F222" authorId="0" shapeId="0">
      <text>
        <t>Loan: Huntington Bank, 1 T880 DC &amp; 3 T680 Slprs (May 2022). Source: Meiborg_Debt_Schedule_202511.xlsx</t>
      </text>
    </comment>
    <comment ref="C223" authorId="0" shapeId="0">
      <text>
        <t>Loan: Huntington Bank, 1 T880 DC &amp; 3 T680 Slprs (May 2022). Source: Meiborg_Debt_Schedule_202511.xlsx</t>
      </text>
    </comment>
    <comment ref="D223" authorId="0" shapeId="0">
      <text>
        <t>Loan: Huntington Bank, 1 T880 DC &amp; 3 T680 Slprs (May 2022). Source: Meiborg_Debt_Schedule_202511.xlsx</t>
      </text>
    </comment>
    <comment ref="E223" authorId="0" shapeId="0">
      <text>
        <t>Loan: Huntington Bank, 1 T880 DC &amp; 3 T680 Slprs (May 2022). Source: Meiborg_Debt_Schedule_202511.xlsx</t>
      </text>
    </comment>
    <comment ref="F223" authorId="0" shapeId="0">
      <text>
        <t>Loan: Huntington Bank, 1 T880 DC &amp; 3 T680 Slprs (May 2022). Source: Meiborg_Debt_Schedule_202511.xlsx</t>
      </text>
    </comment>
    <comment ref="C224" authorId="0" shapeId="0">
      <text>
        <t>Loan: Huntington Bank, 1 T880 DC &amp; 3 T680 Slprs (May 2022). Source: Meiborg_Debt_Schedule_202511.xlsx</t>
      </text>
    </comment>
    <comment ref="D224" authorId="0" shapeId="0">
      <text>
        <t>Loan: Huntington Bank, 1 T880 DC &amp; 3 T680 Slprs (May 2022). Source: Meiborg_Debt_Schedule_202511.xlsx</t>
      </text>
    </comment>
    <comment ref="E224" authorId="0" shapeId="0">
      <text>
        <t>Loan: Huntington Bank, 1 T880 DC &amp; 3 T680 Slprs (May 2022). Source: Meiborg_Debt_Schedule_202511.xlsx</t>
      </text>
    </comment>
    <comment ref="F224" authorId="0" shapeId="0">
      <text>
        <t>Loan: Huntington Bank, 1 T880 DC &amp; 3 T680 Slprs (May 2022). Source: Meiborg_Debt_Schedule_202511.xlsx</t>
      </text>
    </comment>
    <comment ref="C225" authorId="0" shapeId="0">
      <text>
        <t>Loan: Huntington Bank, 1 T880 DC &amp; 3 T680 Slprs (May 2022). Source: Meiborg_Debt_Schedule_202511.xlsx</t>
      </text>
    </comment>
    <comment ref="D225" authorId="0" shapeId="0">
      <text>
        <t>Loan: Huntington Bank, 1 T880 DC &amp; 3 T680 Slprs (May 2022). Source: Meiborg_Debt_Schedule_202511.xlsx</t>
      </text>
    </comment>
    <comment ref="E225" authorId="0" shapeId="0">
      <text>
        <t>Loan: Huntington Bank, 1 T880 DC &amp; 3 T680 Slprs (May 2022). Source: Meiborg_Debt_Schedule_202511.xlsx</t>
      </text>
    </comment>
    <comment ref="F225" authorId="0" shapeId="0">
      <text>
        <t>Loan: Huntington Bank, 1 T880 DC &amp; 3 T680 Slprs (May 2022). Source: Meiborg_Debt_Schedule_202511.xlsx</t>
      </text>
    </comment>
    <comment ref="C226" authorId="0" shapeId="0">
      <text>
        <t>Loan: Huntington Bank, 1 T880 DC &amp; 3 T680 Slprs (May 2022). Source: Meiborg_Debt_Schedule_202511.xlsx</t>
      </text>
    </comment>
    <comment ref="D226" authorId="0" shapeId="0">
      <text>
        <t>Loan: Huntington Bank, 1 T880 DC &amp; 3 T680 Slprs (May 2022). Source: Meiborg_Debt_Schedule_202511.xlsx</t>
      </text>
    </comment>
    <comment ref="E226" authorId="0" shapeId="0">
      <text>
        <t>Loan: Huntington Bank, 1 T880 DC &amp; 3 T680 Slprs (May 2022). Source: Meiborg_Debt_Schedule_202511.xlsx</t>
      </text>
    </comment>
    <comment ref="F226" authorId="0" shapeId="0">
      <text>
        <t>Loan: Huntington Bank, 1 T880 DC &amp; 3 T680 Slprs (May 2022). Source: Meiborg_Debt_Schedule_202511.xlsx</t>
      </text>
    </comment>
    <comment ref="C227" authorId="0" shapeId="0">
      <text>
        <t>Loan: Huntington Bank, 1 T880 DC &amp; 3 T680 Slprs (May 2022). Source: Meiborg_Debt_Schedule_202511.xlsx</t>
      </text>
    </comment>
    <comment ref="D227" authorId="0" shapeId="0">
      <text>
        <t>Loan: Huntington Bank, 1 T880 DC &amp; 3 T680 Slprs (May 2022). Source: Meiborg_Debt_Schedule_202511.xlsx</t>
      </text>
    </comment>
    <comment ref="E227" authorId="0" shapeId="0">
      <text>
        <t>Loan: Huntington Bank, 1 T880 DC &amp; 3 T680 Slprs (May 2022). Source: Meiborg_Debt_Schedule_202511.xlsx</t>
      </text>
    </comment>
    <comment ref="F227" authorId="0" shapeId="0">
      <text>
        <t>Loan: Huntington Bank, 1 T880 DC &amp; 3 T680 Slprs (May 2022). Source: Meiborg_Debt_Schedule_202511.xlsx</t>
      </text>
    </comment>
    <comment ref="C228" authorId="0" shapeId="0">
      <text>
        <t>Loan: Huntington Bank, 1 T880 DC &amp; 3 T680 Slprs (May 2022). Source: Meiborg_Debt_Schedule_202511.xlsx</t>
      </text>
    </comment>
    <comment ref="D228" authorId="0" shapeId="0">
      <text>
        <t>Loan: Huntington Bank, 1 T880 DC &amp; 3 T680 Slprs (May 2022). Source: Meiborg_Debt_Schedule_202511.xlsx</t>
      </text>
    </comment>
    <comment ref="E228" authorId="0" shapeId="0">
      <text>
        <t>Loan: Huntington Bank, 1 T880 DC &amp; 3 T680 Slprs (May 2022). Source: Meiborg_Debt_Schedule_202511.xlsx</t>
      </text>
    </comment>
    <comment ref="F228" authorId="0" shapeId="0">
      <text>
        <t>Loan: Huntington Bank, 1 T880 DC &amp; 3 T680 Slprs (May 2022). Source: Meiborg_Debt_Schedule_202511.xlsx</t>
      </text>
    </comment>
    <comment ref="C229" authorId="0" shapeId="0">
      <text>
        <t>Loan: Huntington Bank, 1 T880 DC &amp; 3 T680 Slprs (May 2022). Source: Meiborg_Debt_Schedule_202511.xlsx</t>
      </text>
    </comment>
    <comment ref="D229" authorId="0" shapeId="0">
      <text>
        <t>Loan: Huntington Bank, 1 T880 DC &amp; 3 T680 Slprs (May 2022). Source: Meiborg_Debt_Schedule_202511.xlsx</t>
      </text>
    </comment>
    <comment ref="E229" authorId="0" shapeId="0">
      <text>
        <t>Loan: Huntington Bank, 1 T880 DC &amp; 3 T680 Slprs (May 2022). Source: Meiborg_Debt_Schedule_202511.xlsx</t>
      </text>
    </comment>
    <comment ref="F229" authorId="0" shapeId="0">
      <text>
        <t>Loan: Huntington Bank, 1 T880 DC &amp; 3 T680 Slprs (May 2022). Source: Meiborg_Debt_Schedule_202511.xlsx</t>
      </text>
    </comment>
    <comment ref="C230" authorId="0" shapeId="0">
      <text>
        <t>Loan: Huntington Bank, 1 T880 DC &amp; 3 T680 Slprs (May 2022). Source: Meiborg_Debt_Schedule_202511.xlsx</t>
      </text>
    </comment>
    <comment ref="D230" authorId="0" shapeId="0">
      <text>
        <t>Loan: Huntington Bank, 1 T880 DC &amp; 3 T680 Slprs (May 2022). Source: Meiborg_Debt_Schedule_202511.xlsx</t>
      </text>
    </comment>
    <comment ref="E230" authorId="0" shapeId="0">
      <text>
        <t>Loan: Huntington Bank, 1 T880 DC &amp; 3 T680 Slprs (May 2022). Source: Meiborg_Debt_Schedule_202511.xlsx</t>
      </text>
    </comment>
    <comment ref="F230" authorId="0" shapeId="0">
      <text>
        <t>Loan: Huntington Bank, 1 T880 DC &amp; 3 T680 Slprs (May 2022). Source: Meiborg_Debt_Schedule_202511.xlsx</t>
      </text>
    </comment>
    <comment ref="C231" authorId="0" shapeId="0">
      <text>
        <t>Loan: Huntington Bank, 1 T880 DC &amp; 3 T680 Slprs (May 2022). Source: Meiborg_Debt_Schedule_202511.xlsx</t>
      </text>
    </comment>
    <comment ref="D231" authorId="0" shapeId="0">
      <text>
        <t>Loan: Huntington Bank, 1 T880 DC &amp; 3 T680 Slprs (May 2022). Source: Meiborg_Debt_Schedule_202511.xlsx</t>
      </text>
    </comment>
    <comment ref="E231" authorId="0" shapeId="0">
      <text>
        <t>Loan: Huntington Bank, 1 T880 DC &amp; 3 T680 Slprs (May 2022). Source: Meiborg_Debt_Schedule_202511.xlsx</t>
      </text>
    </comment>
    <comment ref="F231" authorId="0" shapeId="0">
      <text>
        <t>Loan: Huntington Bank, 1 T880 DC &amp; 3 T680 Slprs (May 2022). Source: Meiborg_Debt_Schedule_202511.xlsx</t>
      </text>
    </comment>
    <comment ref="C232" authorId="0" shapeId="0">
      <text>
        <t>Loan: Huntington Bank, 1 T880 DC &amp; 3 T680 Slprs (May 2022). Source: Meiborg_Debt_Schedule_202511.xlsx</t>
      </text>
    </comment>
    <comment ref="D232" authorId="0" shapeId="0">
      <text>
        <t>Loan: Huntington Bank, 1 T880 DC &amp; 3 T680 Slprs (May 2022). Source: Meiborg_Debt_Schedule_202511.xlsx</t>
      </text>
    </comment>
    <comment ref="E232" authorId="0" shapeId="0">
      <text>
        <t>Loan: Huntington Bank, 1 T880 DC &amp; 3 T680 Slprs (May 2022). Source: Meiborg_Debt_Schedule_202511.xlsx</t>
      </text>
    </comment>
    <comment ref="F232" authorId="0" shapeId="0">
      <text>
        <t>Loan: Huntington Bank, 1 T880 DC &amp; 3 T680 Slprs (May 2022). Source: Meiborg_Debt_Schedule_202511.xlsx</t>
      </text>
    </comment>
    <comment ref="C233" authorId="0" shapeId="0">
      <text>
        <t>Loan: Huntington Bank, 1 T880 DC &amp; 3 T680 Slprs (May 2022). Source: Meiborg_Debt_Schedule_202511.xlsx</t>
      </text>
    </comment>
    <comment ref="D233" authorId="0" shapeId="0">
      <text>
        <t>Loan: Huntington Bank, 1 T880 DC &amp; 3 T680 Slprs (May 2022). Source: Meiborg_Debt_Schedule_202511.xlsx</t>
      </text>
    </comment>
    <comment ref="E233" authorId="0" shapeId="0">
      <text>
        <t>Loan: Huntington Bank, 1 T880 DC &amp; 3 T680 Slprs (May 2022). Source: Meiborg_Debt_Schedule_202511.xlsx</t>
      </text>
    </comment>
    <comment ref="F233" authorId="0" shapeId="0">
      <text>
        <t>Loan: Huntington Bank, 1 T880 DC &amp; 3 T680 Slprs (May 2022). Source: Meiborg_Debt_Schedule_202511.xlsx</t>
      </text>
    </comment>
    <comment ref="C234" authorId="0" shapeId="0">
      <text>
        <t>Loan: Huntington Bank, 1 T880 DC &amp; 3 T680 Slprs (May 2022). Source: Meiborg_Debt_Schedule_202511.xlsx</t>
      </text>
    </comment>
    <comment ref="D234" authorId="0" shapeId="0">
      <text>
        <t>Loan: Huntington Bank, 1 T880 DC &amp; 3 T680 Slprs (May 2022). Source: Meiborg_Debt_Schedule_202511.xlsx</t>
      </text>
    </comment>
    <comment ref="E234" authorId="0" shapeId="0">
      <text>
        <t>Loan: Huntington Bank, 1 T880 DC &amp; 3 T680 Slprs (May 2022). Source: Meiborg_Debt_Schedule_202511.xlsx</t>
      </text>
    </comment>
    <comment ref="F234" authorId="0" shapeId="0">
      <text>
        <t>Loan: Huntington Bank, 1 T880 DC &amp; 3 T680 Slprs (May 2022). Source: Meiborg_Debt_Schedule_202511.xlsx</t>
      </text>
    </comment>
    <comment ref="C235" authorId="0" shapeId="0">
      <text>
        <t>Loan: Huntington Bank, 1 T880 DC &amp; 3 T680 Slprs (May 2022). Source: Meiborg_Debt_Schedule_202511.xlsx</t>
      </text>
    </comment>
    <comment ref="D235" authorId="0" shapeId="0">
      <text>
        <t>Loan: Huntington Bank, 1 T880 DC &amp; 3 T680 Slprs (May 2022). Source: Meiborg_Debt_Schedule_202511.xlsx</t>
      </text>
    </comment>
    <comment ref="E235" authorId="0" shapeId="0">
      <text>
        <t>Loan: Huntington Bank, 1 T880 DC &amp; 3 T680 Slprs (May 2022). Source: Meiborg_Debt_Schedule_202511.xlsx</t>
      </text>
    </comment>
    <comment ref="F235" authorId="0" shapeId="0">
      <text>
        <t>Loan: Huntington Bank, 1 T880 DC &amp; 3 T680 Slprs (May 2022). Source: Meiborg_Debt_Schedule_202511.xlsx</t>
      </text>
    </comment>
    <comment ref="C236" authorId="0" shapeId="0">
      <text>
        <t>Loan: Huntington Bank, 1 T880 DC &amp; 3 T680 Slprs (May 2022). Source: Meiborg_Debt_Schedule_202511.xlsx</t>
      </text>
    </comment>
    <comment ref="D236" authorId="0" shapeId="0">
      <text>
        <t>Loan: Huntington Bank, 1 T880 DC &amp; 3 T680 Slprs (May 2022). Source: Meiborg_Debt_Schedule_202511.xlsx</t>
      </text>
    </comment>
    <comment ref="E236" authorId="0" shapeId="0">
      <text>
        <t>Loan: Huntington Bank, 1 T880 DC &amp; 3 T680 Slprs (May 2022). Source: Meiborg_Debt_Schedule_202511.xlsx</t>
      </text>
    </comment>
    <comment ref="F236" authorId="0" shapeId="0">
      <text>
        <t>Loan: Huntington Bank, 1 T880 DC &amp; 3 T680 Slprs (May 2022). Source: Meiborg_Debt_Schedule_202511.xlsx</t>
      </text>
    </comment>
    <comment ref="C237" authorId="0" shapeId="0">
      <text>
        <t>Loan: Huntington Bank, 1 T880 DC &amp; 3 T680 Slprs (May 2022). Source: Meiborg_Debt_Schedule_202511.xlsx</t>
      </text>
    </comment>
    <comment ref="D237" authorId="0" shapeId="0">
      <text>
        <t>Loan: Huntington Bank, 1 T880 DC &amp; 3 T680 Slprs (May 2022). Source: Meiborg_Debt_Schedule_202511.xlsx</t>
      </text>
    </comment>
    <comment ref="E237" authorId="0" shapeId="0">
      <text>
        <t>Loan: Huntington Bank, 1 T880 DC &amp; 3 T680 Slprs (May 2022). Source: Meiborg_Debt_Schedule_202511.xlsx</t>
      </text>
    </comment>
    <comment ref="F237" authorId="0" shapeId="0">
      <text>
        <t>Loan: Huntington Bank, 1 T880 DC &amp; 3 T680 Slprs (May 2022). Source: Meiborg_Debt_Schedule_202511.xlsx</t>
      </text>
    </comment>
    <comment ref="C238" authorId="0" shapeId="0">
      <text>
        <t>Loan: Huntington Bank, 1 T880 DC &amp; 3 T680 Slprs (May 2022). Source: Meiborg_Debt_Schedule_202511.xlsx</t>
      </text>
    </comment>
    <comment ref="D238" authorId="0" shapeId="0">
      <text>
        <t>Loan: Huntington Bank, 1 T880 DC &amp; 3 T680 Slprs (May 2022). Source: Meiborg_Debt_Schedule_202511.xlsx</t>
      </text>
    </comment>
    <comment ref="E238" authorId="0" shapeId="0">
      <text>
        <t>Loan: Huntington Bank, 1 T880 DC &amp; 3 T680 Slprs (May 2022). Source: Meiborg_Debt_Schedule_202511.xlsx</t>
      </text>
    </comment>
    <comment ref="F238" authorId="0" shapeId="0">
      <text>
        <t>Loan: Huntington Bank, 1 T880 DC &amp; 3 T680 Slprs (May 2022). Source: Meiborg_Debt_Schedule_202511.xlsx</t>
      </text>
    </comment>
    <comment ref="C239" authorId="0" shapeId="0">
      <text>
        <t>Loan: Huntington Bank, 1 T880 DC &amp; 3 T680 Slprs (May 2022). Source: Meiborg_Debt_Schedule_202511.xlsx</t>
      </text>
    </comment>
    <comment ref="D239" authorId="0" shapeId="0">
      <text>
        <t>Loan: Huntington Bank, 1 T880 DC &amp; 3 T680 Slprs (May 2022). Source: Meiborg_Debt_Schedule_202511.xlsx</t>
      </text>
    </comment>
    <comment ref="E239" authorId="0" shapeId="0">
      <text>
        <t>Loan: Huntington Bank, 1 T880 DC &amp; 3 T680 Slprs (May 2022). Source: Meiborg_Debt_Schedule_202511.xlsx</t>
      </text>
    </comment>
    <comment ref="F239" authorId="0" shapeId="0">
      <text>
        <t>Loan: Huntington Bank, 1 T880 DC &amp; 3 T680 Slprs (May 2022). Source: Meiborg_Debt_Schedule_202511.xlsx</t>
      </text>
    </comment>
    <comment ref="C240" authorId="0" shapeId="0">
      <text>
        <t>Loan: Huntington Bank, 1 T880 DC &amp; 3 T680 Slprs (May 2022). Source: Meiborg_Debt_Schedule_202511.xlsx</t>
      </text>
    </comment>
    <comment ref="D240" authorId="0" shapeId="0">
      <text>
        <t>Loan: Huntington Bank, 1 T880 DC &amp; 3 T680 Slprs (May 2022). Source: Meiborg_Debt_Schedule_202511.xlsx</t>
      </text>
    </comment>
    <comment ref="E240" authorId="0" shapeId="0">
      <text>
        <t>Loan: Huntington Bank, 1 T880 DC &amp; 3 T680 Slprs (May 2022). Source: Meiborg_Debt_Schedule_202511.xlsx</t>
      </text>
    </comment>
    <comment ref="F240" authorId="0" shapeId="0">
      <text>
        <t>Loan: Huntington Bank, 1 T880 DC &amp; 3 T680 Slprs (May 2022). Source: Meiborg_Debt_Schedule_202511.xlsx</t>
      </text>
    </comment>
    <comment ref="C241" authorId="0" shapeId="0">
      <text>
        <t>Loan: Huntington Bank, 1 T880 DC &amp; 3 T680 Slprs (May 2022). Source: Meiborg_Debt_Schedule_202511.xlsx</t>
      </text>
    </comment>
    <comment ref="D241" authorId="0" shapeId="0">
      <text>
        <t>Loan: Huntington Bank, 1 T880 DC &amp; 3 T680 Slprs (May 2022). Source: Meiborg_Debt_Schedule_202511.xlsx</t>
      </text>
    </comment>
    <comment ref="E241" authorId="0" shapeId="0">
      <text>
        <t>Loan: Huntington Bank, 1 T880 DC &amp; 3 T680 Slprs (May 2022). Source: Meiborg_Debt_Schedule_202511.xlsx</t>
      </text>
    </comment>
    <comment ref="F241" authorId="0" shapeId="0">
      <text>
        <t>Loan: Huntington Bank, 1 T880 DC &amp; 3 T680 Slprs (May 2022). Source: Meiborg_Debt_Schedule_202511.xlsx</t>
      </text>
    </comment>
    <comment ref="C242" authorId="0" shapeId="0">
      <text>
        <t>Loan: Huntington Bank, 1 T880 DC &amp; 3 T680 Slprs (May 2022). Source: Meiborg_Debt_Schedule_202511.xlsx</t>
      </text>
    </comment>
    <comment ref="D242" authorId="0" shapeId="0">
      <text>
        <t>Loan: Huntington Bank, 1 T880 DC &amp; 3 T680 Slprs (May 2022). Source: Meiborg_Debt_Schedule_202511.xlsx</t>
      </text>
    </comment>
    <comment ref="E242" authorId="0" shapeId="0">
      <text>
        <t>Loan: Huntington Bank, 1 T880 DC &amp; 3 T680 Slprs (May 2022). Source: Meiborg_Debt_Schedule_202511.xlsx</t>
      </text>
    </comment>
    <comment ref="F242" authorId="0" shapeId="0">
      <text>
        <t>Loan: Huntington Bank, 1 T880 DC &amp; 3 T680 Slprs (May 2022). Source: Meiborg_Debt_Schedule_202511.xlsx</t>
      </text>
    </comment>
    <comment ref="C243" authorId="0" shapeId="0">
      <text>
        <t>Loan: Huntington Bank, 1 T880 DC &amp; 3 T680 Slprs (May 2022). Source: Meiborg_Debt_Schedule_202511.xlsx</t>
      </text>
    </comment>
    <comment ref="D243" authorId="0" shapeId="0">
      <text>
        <t>Loan: Huntington Bank, 1 T880 DC &amp; 3 T680 Slprs (May 2022). Source: Meiborg_Debt_Schedule_202511.xlsx</t>
      </text>
    </comment>
    <comment ref="E243" authorId="0" shapeId="0">
      <text>
        <t>Loan: Huntington Bank, 1 T880 DC &amp; 3 T680 Slprs (May 2022). Source: Meiborg_Debt_Schedule_202511.xlsx</t>
      </text>
    </comment>
    <comment ref="F243" authorId="0" shapeId="0">
      <text>
        <t>Loan: Huntington Bank, 1 T880 DC &amp; 3 T680 Slprs (May 2022). Source: Meiborg_Debt_Schedule_202511.xlsx</t>
      </text>
    </comment>
    <comment ref="C244" authorId="0" shapeId="0">
      <text>
        <t>Loan: Huntington Bank, 1 T880 DC &amp; 3 T680 Slprs (May 2022). Source: Meiborg_Debt_Schedule_202511.xlsx</t>
      </text>
    </comment>
    <comment ref="D244" authorId="0" shapeId="0">
      <text>
        <t>Loan: Huntington Bank, 1 T880 DC &amp; 3 T680 Slprs (May 2022). Source: Meiborg_Debt_Schedule_202511.xlsx</t>
      </text>
    </comment>
    <comment ref="E244" authorId="0" shapeId="0">
      <text>
        <t>Loan: Huntington Bank, 1 T880 DC &amp; 3 T680 Slprs (May 2022). Source: Meiborg_Debt_Schedule_202511.xlsx</t>
      </text>
    </comment>
    <comment ref="F244" authorId="0" shapeId="0">
      <text>
        <t>Loan: Huntington Bank, 1 T880 DC &amp; 3 T680 Slprs (May 2022). Source: Meiborg_Debt_Schedule_202511.xlsx</t>
      </text>
    </comment>
    <comment ref="C245" authorId="0" shapeId="0">
      <text>
        <t>Loan: Huntington Bank, 1 T880 DC &amp; 3 T680 Slprs (May 2022). Source: Meiborg_Debt_Schedule_202511.xlsx</t>
      </text>
    </comment>
    <comment ref="D245" authorId="0" shapeId="0">
      <text>
        <t>Loan: Huntington Bank, 1 T880 DC &amp; 3 T680 Slprs (May 2022). Source: Meiborg_Debt_Schedule_202511.xlsx</t>
      </text>
    </comment>
    <comment ref="E245" authorId="0" shapeId="0">
      <text>
        <t>Loan: Huntington Bank, 1 T880 DC &amp; 3 T680 Slprs (May 2022). Source: Meiborg_Debt_Schedule_202511.xlsx</t>
      </text>
    </comment>
    <comment ref="F245" authorId="0" shapeId="0">
      <text>
        <t>Loan: Huntington Bank, 1 T880 DC &amp; 3 T680 Slprs (May 2022). Source: Meiborg_Debt_Schedule_202511.xlsx</t>
      </text>
    </comment>
    <comment ref="C246" authorId="0" shapeId="0">
      <text>
        <t>Loan: Huntington Bank, 1 T880 DC &amp; 3 T680 Slprs (May 2022). Source: Meiborg_Debt_Schedule_202511.xlsx</t>
      </text>
    </comment>
    <comment ref="D246" authorId="0" shapeId="0">
      <text>
        <t>Loan: Huntington Bank, 1 T880 DC &amp; 3 T680 Slprs (May 2022). Source: Meiborg_Debt_Schedule_202511.xlsx</t>
      </text>
    </comment>
    <comment ref="E246" authorId="0" shapeId="0">
      <text>
        <t>Loan: Huntington Bank, 1 T880 DC &amp; 3 T680 Slprs (May 2022). Source: Meiborg_Debt_Schedule_202511.xlsx</t>
      </text>
    </comment>
    <comment ref="F246" authorId="0" shapeId="0">
      <text>
        <t>Loan: Huntington Bank, 1 T880 DC &amp; 3 T680 Slprs (May 2022). Source: Meiborg_Debt_Schedule_202511.xlsx</t>
      </text>
    </comment>
    <comment ref="C247" authorId="0" shapeId="0">
      <text>
        <t>Loan: Huntington Bank, 1 T880 DC &amp; 3 T680 Slprs (May 2022). Source: Meiborg_Debt_Schedule_202511.xlsx</t>
      </text>
    </comment>
    <comment ref="D247" authorId="0" shapeId="0">
      <text>
        <t>Loan: Huntington Bank, 1 T880 DC &amp; 3 T680 Slprs (May 2022). Source: Meiborg_Debt_Schedule_202511.xlsx</t>
      </text>
    </comment>
    <comment ref="E247" authorId="0" shapeId="0">
      <text>
        <t>Loan: Huntington Bank, 1 T880 DC &amp; 3 T680 Slprs (May 2022). Source: Meiborg_Debt_Schedule_202511.xlsx</t>
      </text>
    </comment>
    <comment ref="F247" authorId="0" shapeId="0">
      <text>
        <t>Loan: Huntington Bank, 1 T880 DC &amp; 3 T680 Slprs (May 2022). Source: Meiborg_Debt_Schedule_202511.xlsx</t>
      </text>
    </comment>
    <comment ref="C248" authorId="0" shapeId="0">
      <text>
        <t>Loan: Huntington Bank, 1 T880 DC &amp; 3 T680 Slprs (May 2022). Source: Meiborg_Debt_Schedule_202511.xlsx</t>
      </text>
    </comment>
    <comment ref="D248" authorId="0" shapeId="0">
      <text>
        <t>Loan: Huntington Bank, 1 T880 DC &amp; 3 T680 Slprs (May 2022). Source: Meiborg_Debt_Schedule_202511.xlsx</t>
      </text>
    </comment>
    <comment ref="E248" authorId="0" shapeId="0">
      <text>
        <t>Loan: Huntington Bank, 1 T880 DC &amp; 3 T680 Slprs (May 2022). Source: Meiborg_Debt_Schedule_202511.xlsx</t>
      </text>
    </comment>
    <comment ref="F248" authorId="0" shapeId="0">
      <text>
        <t>Loan: Huntington Bank, 1 T880 DC &amp; 3 T680 Slprs (May 2022). Source: Meiborg_Debt_Schedule_202511.xlsx</t>
      </text>
    </comment>
    <comment ref="C249" authorId="0" shapeId="0">
      <text>
        <t>Loan: Huntington Bank, 1 T880 DC &amp; 3 T680 Slprs (May 2022). Source: Meiborg_Debt_Schedule_202511.xlsx</t>
      </text>
    </comment>
    <comment ref="D249" authorId="0" shapeId="0">
      <text>
        <t>Loan: Huntington Bank, 1 T880 DC &amp; 3 T680 Slprs (May 2022). Source: Meiborg_Debt_Schedule_202511.xlsx</t>
      </text>
    </comment>
    <comment ref="E249" authorId="0" shapeId="0">
      <text>
        <t>Loan: Huntington Bank, 1 T880 DC &amp; 3 T680 Slprs (May 2022). Source: Meiborg_Debt_Schedule_202511.xlsx</t>
      </text>
    </comment>
    <comment ref="F249" authorId="0" shapeId="0">
      <text>
        <t>Loan: Huntington Bank, 1 T880 DC &amp; 3 T680 Slprs (May 2022). Source: Meiborg_Debt_Schedule_202511.xlsx</t>
      </text>
    </comment>
    <comment ref="C250" authorId="0" shapeId="0">
      <text>
        <t>Loan: Huntington Bank, 1 T880 DC &amp; 3 T680 Slprs (May 2022). Source: Meiborg_Debt_Schedule_202511.xlsx</t>
      </text>
    </comment>
    <comment ref="D250" authorId="0" shapeId="0">
      <text>
        <t>Loan: Huntington Bank, 1 T880 DC &amp; 3 T680 Slprs (May 2022). Source: Meiborg_Debt_Schedule_202511.xlsx</t>
      </text>
    </comment>
    <comment ref="E250" authorId="0" shapeId="0">
      <text>
        <t>Loan: Huntington Bank, 1 T880 DC &amp; 3 T680 Slprs (May 2022). Source: Meiborg_Debt_Schedule_202511.xlsx</t>
      </text>
    </comment>
    <comment ref="F250" authorId="0" shapeId="0">
      <text>
        <t>Loan: Huntington Bank, 1 T880 DC &amp; 3 T680 Slprs (May 2022). Source: Meiborg_Debt_Schedule_202511.xlsx</t>
      </text>
    </comment>
    <comment ref="C251" authorId="0" shapeId="0">
      <text>
        <t>Loan: Huntington Bank, 1 T880 DC &amp; 3 T680 Slprs (May 2022). Source: Meiborg_Debt_Schedule_202511.xlsx</t>
      </text>
    </comment>
    <comment ref="D251" authorId="0" shapeId="0">
      <text>
        <t>Loan: Huntington Bank, 1 T880 DC &amp; 3 T680 Slprs (May 2022). Source: Meiborg_Debt_Schedule_202511.xlsx</t>
      </text>
    </comment>
    <comment ref="E251" authorId="0" shapeId="0">
      <text>
        <t>Loan: Huntington Bank, 1 T880 DC &amp; 3 T680 Slprs (May 2022). Source: Meiborg_Debt_Schedule_202511.xlsx</t>
      </text>
    </comment>
    <comment ref="F251" authorId="0" shapeId="0">
      <text>
        <t>Loan: Huntington Bank, 1 T880 DC &amp; 3 T680 Slprs (May 2022). Source: Meiborg_Debt_Schedule_202511.xlsx</t>
      </text>
    </comment>
    <comment ref="C252" authorId="0" shapeId="0">
      <text>
        <t>Loan: Huntington Bank, 1 T880 DC &amp; 3 T680 Slprs (May 2022). Source: Meiborg_Debt_Schedule_202511.xlsx</t>
      </text>
    </comment>
    <comment ref="D252" authorId="0" shapeId="0">
      <text>
        <t>Loan: Huntington Bank, 1 T880 DC &amp; 3 T680 Slprs (May 2022). Source: Meiborg_Debt_Schedule_202511.xlsx</t>
      </text>
    </comment>
    <comment ref="E252" authorId="0" shapeId="0">
      <text>
        <t>Loan: Huntington Bank, 1 T880 DC &amp; 3 T680 Slprs (May 2022). Source: Meiborg_Debt_Schedule_202511.xlsx</t>
      </text>
    </comment>
    <comment ref="F252" authorId="0" shapeId="0">
      <text>
        <t>Loan: Huntington Bank, 1 T880 DC &amp; 3 T680 Slprs (May 2022). Source: Meiborg_Debt_Schedule_202511.xlsx</t>
      </text>
    </comment>
    <comment ref="C253" authorId="0" shapeId="0">
      <text>
        <t>Loan: Huntington Bank, 1 T880 DC &amp; 3 T680 Slprs (May 2022). Source: Meiborg_Debt_Schedule_202511.xlsx</t>
      </text>
    </comment>
    <comment ref="D253" authorId="0" shapeId="0">
      <text>
        <t>Loan: Huntington Bank, 1 T880 DC &amp; 3 T680 Slprs (May 2022). Source: Meiborg_Debt_Schedule_202511.xlsx</t>
      </text>
    </comment>
    <comment ref="E253" authorId="0" shapeId="0">
      <text>
        <t>Loan: Huntington Bank, 1 T880 DC &amp; 3 T680 Slprs (May 2022). Source: Meiborg_Debt_Schedule_202511.xlsx</t>
      </text>
    </comment>
    <comment ref="F253" authorId="0" shapeId="0">
      <text>
        <t>Loan: Huntington Bank, 1 T880 DC &amp; 3 T680 Slprs (May 2022). Source: Meiborg_Debt_Schedule_202511.xlsx</t>
      </text>
    </comment>
    <comment ref="C254" authorId="0" shapeId="0">
      <text>
        <t>Loan: Huntington Bank, 1 T880 DC &amp; 3 T680 Slprs (May 2022). Source: Meiborg_Debt_Schedule_202511.xlsx</t>
      </text>
    </comment>
    <comment ref="D254" authorId="0" shapeId="0">
      <text>
        <t>Loan: Huntington Bank, 1 T880 DC &amp; 3 T680 Slprs (May 2022). Source: Meiborg_Debt_Schedule_202511.xlsx</t>
      </text>
    </comment>
    <comment ref="E254" authorId="0" shapeId="0">
      <text>
        <t>Loan: Huntington Bank, 1 T880 DC &amp; 3 T680 Slprs (May 2022). Source: Meiborg_Debt_Schedule_202511.xlsx</t>
      </text>
    </comment>
    <comment ref="F254" authorId="0" shapeId="0">
      <text>
        <t>Loan: Huntington Bank, 1 T880 DC &amp; 3 T680 Slprs (May 2022). Source: Meiborg_Debt_Schedule_202511.xlsx</t>
      </text>
    </comment>
    <comment ref="C255" authorId="0" shapeId="0">
      <text>
        <t>Loan: Huntington Bank, 1 T880 DC &amp; 3 T680 Slprs (May 2022). Source: Meiborg_Debt_Schedule_202511.xlsx</t>
      </text>
    </comment>
    <comment ref="D255" authorId="0" shapeId="0">
      <text>
        <t>Loan: Huntington Bank, 1 T880 DC &amp; 3 T680 Slprs (May 2022). Source: Meiborg_Debt_Schedule_202511.xlsx</t>
      </text>
    </comment>
    <comment ref="E255" authorId="0" shapeId="0">
      <text>
        <t>Loan: Huntington Bank, 1 T880 DC &amp; 3 T680 Slprs (May 2022). Source: Meiborg_Debt_Schedule_202511.xlsx</t>
      </text>
    </comment>
    <comment ref="F255" authorId="0" shapeId="0">
      <text>
        <t>Loan: Huntington Bank, 1 T880 DC &amp; 3 T680 Slprs (May 2022). Source: Meiborg_Debt_Schedule_202511.xlsx</t>
      </text>
    </comment>
    <comment ref="C256" authorId="0" shapeId="0">
      <text>
        <t>Loan: Huntington Bank, 1 T880 DC &amp; 3 T680 Slprs (May 2022). Source: Meiborg_Debt_Schedule_202511.xlsx</t>
      </text>
    </comment>
    <comment ref="D256" authorId="0" shapeId="0">
      <text>
        <t>Loan: Huntington Bank, 1 T880 DC &amp; 3 T680 Slprs (May 2022). Source: Meiborg_Debt_Schedule_202511.xlsx</t>
      </text>
    </comment>
    <comment ref="E256" authorId="0" shapeId="0">
      <text>
        <t>Loan: Huntington Bank, 1 T880 DC &amp; 3 T680 Slprs (May 2022). Source: Meiborg_Debt_Schedule_202511.xlsx</t>
      </text>
    </comment>
    <comment ref="F256" authorId="0" shapeId="0">
      <text>
        <t>Loan: Huntington Bank, 1 T880 DC &amp; 3 T680 Slprs (May 2022). Source: Meiborg_Debt_Schedule_202511.xlsx</t>
      </text>
    </comment>
    <comment ref="C257" authorId="0" shapeId="0">
      <text>
        <t>Loan: Huntington Bank, 1 T880 DC &amp; 3 T680 Slprs (May 2022). Source: Meiborg_Debt_Schedule_202511.xlsx</t>
      </text>
    </comment>
    <comment ref="D257" authorId="0" shapeId="0">
      <text>
        <t>Loan: Huntington Bank, 1 T880 DC &amp; 3 T680 Slprs (May 2022). Source: Meiborg_Debt_Schedule_202511.xlsx</t>
      </text>
    </comment>
    <comment ref="E257" authorId="0" shapeId="0">
      <text>
        <t>Loan: Huntington Bank, 1 T880 DC &amp; 3 T680 Slprs (May 2022). Source: Meiborg_Debt_Schedule_202511.xlsx</t>
      </text>
    </comment>
    <comment ref="F257" authorId="0" shapeId="0">
      <text>
        <t>Loan: Huntington Bank, 1 T880 DC &amp; 3 T680 Slprs (May 2022). Source: Meiborg_Debt_Schedule_202511.xlsx</t>
      </text>
    </comment>
    <comment ref="C258" authorId="0" shapeId="0">
      <text>
        <t>Loan: Huntington Bank, 1 T880 DC &amp; 3 T680 Slprs (May 2022). Source: Meiborg_Debt_Schedule_202511.xlsx</t>
      </text>
    </comment>
    <comment ref="D258" authorId="0" shapeId="0">
      <text>
        <t>Loan: Huntington Bank, 1 T880 DC &amp; 3 T680 Slprs (May 2022). Source: Meiborg_Debt_Schedule_202511.xlsx</t>
      </text>
    </comment>
    <comment ref="E258" authorId="0" shapeId="0">
      <text>
        <t>Loan: Huntington Bank, 1 T880 DC &amp; 3 T680 Slprs (May 2022). Source: Meiborg_Debt_Schedule_202511.xlsx</t>
      </text>
    </comment>
    <comment ref="F258" authorId="0" shapeId="0">
      <text>
        <t>Loan: Huntington Bank, 1 T880 DC &amp; 3 T680 Slprs (May 2022). Source: Meiborg_Debt_Schedule_202511.xlsx</t>
      </text>
    </comment>
    <comment ref="C259" authorId="0" shapeId="0">
      <text>
        <t>Loan: Huntington Bank, 1 T880 DC &amp; 3 T680 Slprs (May 2022). Source: Meiborg_Debt_Schedule_202511.xlsx</t>
      </text>
    </comment>
    <comment ref="D259" authorId="0" shapeId="0">
      <text>
        <t>Loan: Huntington Bank, 1 T880 DC &amp; 3 T680 Slprs (May 2022). Source: Meiborg_Debt_Schedule_202511.xlsx</t>
      </text>
    </comment>
    <comment ref="E259" authorId="0" shapeId="0">
      <text>
        <t>Loan: Huntington Bank, 1 T880 DC &amp; 3 T680 Slprs (May 2022). Source: Meiborg_Debt_Schedule_202511.xlsx</t>
      </text>
    </comment>
    <comment ref="F259" authorId="0" shapeId="0">
      <text>
        <t>Loan: Huntington Bank, 1 T880 DC &amp; 3 T680 Slprs (May 2022). Source: Meiborg_Debt_Schedule_202511.xlsx</t>
      </text>
    </comment>
    <comment ref="C260" authorId="0" shapeId="0">
      <text>
        <t>Loan: Huntington Bank, 1 T880 DC &amp; 3 T680 Slprs (May 2022). Source: Meiborg_Debt_Schedule_202511.xlsx</t>
      </text>
    </comment>
    <comment ref="D260" authorId="0" shapeId="0">
      <text>
        <t>Loan: Huntington Bank, 1 T880 DC &amp; 3 T680 Slprs (May 2022). Source: Meiborg_Debt_Schedule_202511.xlsx</t>
      </text>
    </comment>
    <comment ref="E260" authorId="0" shapeId="0">
      <text>
        <t>Loan: Huntington Bank, 1 T880 DC &amp; 3 T680 Slprs (May 2022). Source: Meiborg_Debt_Schedule_202511.xlsx</t>
      </text>
    </comment>
    <comment ref="F260" authorId="0" shapeId="0">
      <text>
        <t>Loan: Huntington Bank, 1 T880 DC &amp; 3 T680 Slprs (May 2022). Source: Meiborg_Debt_Schedule_202511.xlsx</t>
      </text>
    </comment>
    <comment ref="C261" authorId="0" shapeId="0">
      <text>
        <t>Loan: Huntington Bank, 1 T880 DC &amp; 3 T680 Slprs (May 2022). Source: Meiborg_Debt_Schedule_202511.xlsx</t>
      </text>
    </comment>
    <comment ref="D261" authorId="0" shapeId="0">
      <text>
        <t>Loan: Huntington Bank, 1 T880 DC &amp; 3 T680 Slprs (May 2022). Source: Meiborg_Debt_Schedule_202511.xlsx</t>
      </text>
    </comment>
    <comment ref="E261" authorId="0" shapeId="0">
      <text>
        <t>Loan: Huntington Bank, 1 T880 DC &amp; 3 T680 Slprs (May 2022). Source: Meiborg_Debt_Schedule_202511.xlsx</t>
      </text>
    </comment>
    <comment ref="F261" authorId="0" shapeId="0">
      <text>
        <t>Loan: Huntington Bank, 1 T880 DC &amp; 3 T680 Slprs (May 2022). Source: Meiborg_Debt_Schedule_202511.xlsx</t>
      </text>
    </comment>
    <comment ref="C262" authorId="0" shapeId="0">
      <text>
        <t>Loan: Huntington Bank, 1 T880 DC &amp; 3 T680 Slprs (May 2022). Source: Meiborg_Debt_Schedule_202511.xlsx</t>
      </text>
    </comment>
    <comment ref="D262" authorId="0" shapeId="0">
      <text>
        <t>Loan: Huntington Bank, 1 T880 DC &amp; 3 T680 Slprs (May 2022). Source: Meiborg_Debt_Schedule_202511.xlsx</t>
      </text>
    </comment>
    <comment ref="E262" authorId="0" shapeId="0">
      <text>
        <t>Loan: Huntington Bank, 1 T880 DC &amp; 3 T680 Slprs (May 2022). Source: Meiborg_Debt_Schedule_202511.xlsx</t>
      </text>
    </comment>
    <comment ref="F262" authorId="0" shapeId="0">
      <text>
        <t>Loan: Huntington Bank, 1 T880 DC &amp; 3 T680 Slprs (May 2022). Source: Meiborg_Debt_Schedule_202511.xlsx</t>
      </text>
    </comment>
    <comment ref="C263" authorId="0" shapeId="0">
      <text>
        <t>Loan: Huntington Bank, 1 T880 DC &amp; 3 T680 Slprs (May 2022). Source: Meiborg_Debt_Schedule_202511.xlsx</t>
      </text>
    </comment>
    <comment ref="D263" authorId="0" shapeId="0">
      <text>
        <t>Loan: Huntington Bank, 1 T880 DC &amp; 3 T680 Slprs (May 2022). Source: Meiborg_Debt_Schedule_202511.xlsx</t>
      </text>
    </comment>
    <comment ref="E263" authorId="0" shapeId="0">
      <text>
        <t>Loan: Huntington Bank, 1 T880 DC &amp; 3 T680 Slprs (May 2022). Source: Meiborg_Debt_Schedule_202511.xlsx</t>
      </text>
    </comment>
    <comment ref="F263" authorId="0" shapeId="0">
      <text>
        <t>Loan: Huntington Bank, 1 T880 DC &amp; 3 T680 Slprs (May 2022). Source: Meiborg_Debt_Schedule_202511.xlsx</t>
      </text>
    </comment>
    <comment ref="C264" authorId="0" shapeId="0">
      <text>
        <t>Loan: Huntington Bank, 1 T880 DC &amp; 3 T680 Slprs (May 2022). Source: Meiborg_Debt_Schedule_202511.xlsx</t>
      </text>
    </comment>
    <comment ref="D264" authorId="0" shapeId="0">
      <text>
        <t>Loan: Huntington Bank, 1 T880 DC &amp; 3 T680 Slprs (May 2022). Source: Meiborg_Debt_Schedule_202511.xlsx</t>
      </text>
    </comment>
    <comment ref="E264" authorId="0" shapeId="0">
      <text>
        <t>Loan: Huntington Bank, 1 T880 DC &amp; 3 T680 Slprs (May 2022). Source: Meiborg_Debt_Schedule_202511.xlsx</t>
      </text>
    </comment>
    <comment ref="F264" authorId="0" shapeId="0">
      <text>
        <t>Loan: Huntington Bank, 1 T880 DC &amp; 3 T680 Slprs (May 2022). Source: Meiborg_Debt_Schedule_202511.xlsx</t>
      </text>
    </comment>
    <comment ref="C265" authorId="0" shapeId="0">
      <text>
        <t>Loan: Huntington Bank, 1 T880 DC &amp; 3 T680 Slprs (May 2022). Source: Meiborg_Debt_Schedule_202511.xlsx</t>
      </text>
    </comment>
    <comment ref="D265" authorId="0" shapeId="0">
      <text>
        <t>Loan: Huntington Bank, 1 T880 DC &amp; 3 T680 Slprs (May 2022). Source: Meiborg_Debt_Schedule_202511.xlsx</t>
      </text>
    </comment>
    <comment ref="E265" authorId="0" shapeId="0">
      <text>
        <t>Loan: Huntington Bank, 1 T880 DC &amp; 3 T680 Slprs (May 2022). Source: Meiborg_Debt_Schedule_202511.xlsx</t>
      </text>
    </comment>
    <comment ref="F265" authorId="0" shapeId="0">
      <text>
        <t>Loan: Huntington Bank, 1 T880 DC &amp; 3 T680 Slprs (May 2022). Source: Meiborg_Debt_Schedule_202511.xlsx</t>
      </text>
    </comment>
    <comment ref="C266" authorId="0" shapeId="0">
      <text>
        <t>Loan: Huntington Bank, 1 T880 DC &amp; 3 T680 Slprs (May 2022). Source: Meiborg_Debt_Schedule_202511.xlsx</t>
      </text>
    </comment>
    <comment ref="D266" authorId="0" shapeId="0">
      <text>
        <t>Loan: Huntington Bank, 1 T880 DC &amp; 3 T680 Slprs (May 2022). Source: Meiborg_Debt_Schedule_202511.xlsx</t>
      </text>
    </comment>
    <comment ref="E266" authorId="0" shapeId="0">
      <text>
        <t>Loan: Huntington Bank, 1 T880 DC &amp; 3 T680 Slprs (May 2022). Source: Meiborg_Debt_Schedule_202511.xlsx</t>
      </text>
    </comment>
    <comment ref="F266" authorId="0" shapeId="0">
      <text>
        <t>Loan: Huntington Bank, 1 T880 DC &amp; 3 T680 Slprs (May 2022). Source: Meiborg_Debt_Schedule_202511.xlsx</t>
      </text>
    </comment>
    <comment ref="C267" authorId="0" shapeId="0">
      <text>
        <t>Loan: Huntington Bank, 1 T880 DC &amp; 3 T680 Slprs (May 2022). Source: Meiborg_Debt_Schedule_202511.xlsx</t>
      </text>
    </comment>
    <comment ref="D267" authorId="0" shapeId="0">
      <text>
        <t>Loan: Huntington Bank, 1 T880 DC &amp; 3 T680 Slprs (May 2022). Source: Meiborg_Debt_Schedule_202511.xlsx</t>
      </text>
    </comment>
    <comment ref="E267" authorId="0" shapeId="0">
      <text>
        <t>Loan: Huntington Bank, 1 T880 DC &amp; 3 T680 Slprs (May 2022). Source: Meiborg_Debt_Schedule_202511.xlsx</t>
      </text>
    </comment>
    <comment ref="F267" authorId="0" shapeId="0">
      <text>
        <t>Loan: Huntington Bank, 1 T880 DC &amp; 3 T680 Slprs (May 2022). Source: Meiborg_Debt_Schedule_202511.xlsx</t>
      </text>
    </comment>
    <comment ref="C268" authorId="0" shapeId="0">
      <text>
        <t>Loan: Huntington Bank, 1 T880 DC &amp; 3 T680 Slprs (May 2022). Source: Meiborg_Debt_Schedule_202511.xlsx</t>
      </text>
    </comment>
    <comment ref="D268" authorId="0" shapeId="0">
      <text>
        <t>Loan: Huntington Bank, 1 T880 DC &amp; 3 T680 Slprs (May 2022). Source: Meiborg_Debt_Schedule_202511.xlsx</t>
      </text>
    </comment>
    <comment ref="E268" authorId="0" shapeId="0">
      <text>
        <t>Loan: Huntington Bank, 1 T880 DC &amp; 3 T680 Slprs (May 2022). Source: Meiborg_Debt_Schedule_202511.xlsx</t>
      </text>
    </comment>
    <comment ref="F268" authorId="0" shapeId="0">
      <text>
        <t>Loan: Huntington Bank, 1 T880 DC &amp; 3 T680 Slprs (May 2022). Source: Meiborg_Debt_Schedule_202511.xlsx</t>
      </text>
    </comment>
    <comment ref="C269" authorId="0" shapeId="0">
      <text>
        <t>Loan: Huntington Bank, 1 T880 DC &amp; 3 T680 Slprs (May 2022). Source: Meiborg_Debt_Schedule_202511.xlsx</t>
      </text>
    </comment>
    <comment ref="D269" authorId="0" shapeId="0">
      <text>
        <t>Loan: Huntington Bank, 1 T880 DC &amp; 3 T680 Slprs (May 2022). Source: Meiborg_Debt_Schedule_202511.xlsx</t>
      </text>
    </comment>
    <comment ref="E269" authorId="0" shapeId="0">
      <text>
        <t>Loan: Huntington Bank, 1 T880 DC &amp; 3 T680 Slprs (May 2022). Source: Meiborg_Debt_Schedule_202511.xlsx</t>
      </text>
    </comment>
    <comment ref="F269" authorId="0" shapeId="0">
      <text>
        <t>Loan: Huntington Bank, 1 T880 DC &amp; 3 T680 Slprs (May 2022). Source: Meiborg_Debt_Schedule_202511.xlsx</t>
      </text>
    </comment>
    <comment ref="C270" authorId="0" shapeId="0">
      <text>
        <t>Loan: Huntington Bank, 1 T880 DC &amp; 3 T680 Slprs (May 2022). Source: Meiborg_Debt_Schedule_202511.xlsx</t>
      </text>
    </comment>
    <comment ref="D270" authorId="0" shapeId="0">
      <text>
        <t>Loan: Huntington Bank, 1 T880 DC &amp; 3 T680 Slprs (May 2022). Source: Meiborg_Debt_Schedule_202511.xlsx</t>
      </text>
    </comment>
    <comment ref="E270" authorId="0" shapeId="0">
      <text>
        <t>Loan: Huntington Bank, 1 T880 DC &amp; 3 T680 Slprs (May 2022). Source: Meiborg_Debt_Schedule_202511.xlsx</t>
      </text>
    </comment>
    <comment ref="F270" authorId="0" shapeId="0">
      <text>
        <t>Loan: Huntington Bank, 1 T880 DC &amp; 3 T680 Slprs (May 2022). Source: Meiborg_Debt_Schedule_202511.xlsx</t>
      </text>
    </comment>
    <comment ref="C271" authorId="0" shapeId="0">
      <text>
        <t>Loan: Huntington Bank, 1 T880 DC &amp; 3 T680 Slprs (May 2022). Source: Meiborg_Debt_Schedule_202511.xlsx</t>
      </text>
    </comment>
    <comment ref="D271" authorId="0" shapeId="0">
      <text>
        <t>Loan: Huntington Bank, 1 T880 DC &amp; 3 T680 Slprs (May 2022). Source: Meiborg_Debt_Schedule_202511.xlsx</t>
      </text>
    </comment>
    <comment ref="E271" authorId="0" shapeId="0">
      <text>
        <t>Loan: Huntington Bank, 1 T880 DC &amp; 3 T680 Slprs (May 2022). Source: Meiborg_Debt_Schedule_202511.xlsx</t>
      </text>
    </comment>
    <comment ref="F271" authorId="0" shapeId="0">
      <text>
        <t>Loan: Huntington Bank, 1 T880 DC &amp; 3 T680 Slprs (May 2022). Source: Meiborg_Debt_Schedule_202511.xlsx</t>
      </text>
    </comment>
    <comment ref="C272" authorId="0" shapeId="0">
      <text>
        <t>Loan: Huntington Bank, 1 T880 DC &amp; 3 T680 Slprs (May 2022). Source: Meiborg_Debt_Schedule_202511.xlsx</t>
      </text>
    </comment>
    <comment ref="D272" authorId="0" shapeId="0">
      <text>
        <t>Loan: Huntington Bank, 1 T880 DC &amp; 3 T680 Slprs (May 2022). Source: Meiborg_Debt_Schedule_202511.xlsx</t>
      </text>
    </comment>
    <comment ref="E272" authorId="0" shapeId="0">
      <text>
        <t>Loan: Huntington Bank, 1 T880 DC &amp; 3 T680 Slprs (May 2022). Source: Meiborg_Debt_Schedule_202511.xlsx</t>
      </text>
    </comment>
    <comment ref="F272" authorId="0" shapeId="0">
      <text>
        <t>Loan: Huntington Bank, 1 T880 DC &amp; 3 T680 Slprs (May 2022). Source: Meiborg_Debt_Schedule_202511.xlsx</t>
      </text>
    </comment>
    <comment ref="C273" authorId="0" shapeId="0">
      <text>
        <t>Loan: Huntington Bank, 1 T880 DC &amp; 3 T680 Slprs (May 2022). Source: Meiborg_Debt_Schedule_202511.xlsx</t>
      </text>
    </comment>
    <comment ref="D273" authorId="0" shapeId="0">
      <text>
        <t>Loan: Huntington Bank, 1 T880 DC &amp; 3 T680 Slprs (May 2022). Source: Meiborg_Debt_Schedule_202511.xlsx</t>
      </text>
    </comment>
    <comment ref="E273" authorId="0" shapeId="0">
      <text>
        <t>Loan: Huntington Bank, 1 T880 DC &amp; 3 T680 Slprs (May 2022). Source: Meiborg_Debt_Schedule_202511.xlsx</t>
      </text>
    </comment>
    <comment ref="F273" authorId="0" shapeId="0">
      <text>
        <t>Loan: Huntington Bank, 1 T880 DC &amp; 3 T680 Slprs (May 2022). Source: Meiborg_Debt_Schedule_202511.xlsx</t>
      </text>
    </comment>
    <comment ref="C274" authorId="0" shapeId="0">
      <text>
        <t>Loan: Huntington Bank, 1 T880 DC &amp; 3 T680 Slprs (May 2022). Source: Meiborg_Debt_Schedule_202511.xlsx</t>
      </text>
    </comment>
    <comment ref="D274" authorId="0" shapeId="0">
      <text>
        <t>Loan: Huntington Bank, 1 T880 DC &amp; 3 T680 Slprs (May 2022). Source: Meiborg_Debt_Schedule_202511.xlsx</t>
      </text>
    </comment>
    <comment ref="E274" authorId="0" shapeId="0">
      <text>
        <t>Loan: Huntington Bank, 1 T880 DC &amp; 3 T680 Slprs (May 2022). Source: Meiborg_Debt_Schedule_202511.xlsx</t>
      </text>
    </comment>
    <comment ref="F274" authorId="0" shapeId="0">
      <text>
        <t>Loan: Huntington Bank, 1 T880 DC &amp; 3 T680 Slprs (May 2022). Source: Meiborg_Debt_Schedule_202511.xlsx</t>
      </text>
    </comment>
    <comment ref="C275" authorId="0" shapeId="0">
      <text>
        <t>Loan: Huntington Bank, 1 T880 DC &amp; 3 T680 Slprs (May 2022). Source: Meiborg_Debt_Schedule_202511.xlsx</t>
      </text>
    </comment>
    <comment ref="D275" authorId="0" shapeId="0">
      <text>
        <t>Loan: Huntington Bank, 1 T880 DC &amp; 3 T680 Slprs (May 2022). Source: Meiborg_Debt_Schedule_202511.xlsx</t>
      </text>
    </comment>
    <comment ref="E275" authorId="0" shapeId="0">
      <text>
        <t>Loan: Huntington Bank, 1 T880 DC &amp; 3 T680 Slprs (May 2022). Source: Meiborg_Debt_Schedule_202511.xlsx</t>
      </text>
    </comment>
    <comment ref="F275" authorId="0" shapeId="0">
      <text>
        <t>Loan: Huntington Bank, 1 T880 DC &amp; 3 T680 Slprs (May 2022). Source: Meiborg_Debt_Schedule_202511.xlsx</t>
      </text>
    </comment>
    <comment ref="D276" authorId="0" shapeId="0">
      <text>
        <t>Sum of rows 210-275: Total interest over loan term</t>
      </text>
    </comment>
    <comment ref="E276" authorId="0" shapeId="0">
      <text>
        <t>Sum of rows 210-275: Total principal over loan term</t>
      </text>
    </comment>
    <comment ref="B280" authorId="0" shapeId="0">
      <text>
        <t>Source: data/loans.md - Huntington Loan 4
Extracted: 2026-05-19</t>
      </text>
    </comment>
    <comment ref="B281" authorId="0" shapeId="0">
      <text>
        <t>Source: data/loans.md - Account number
Extracted: 2026-05-19</t>
      </text>
    </comment>
    <comment ref="B282" authorId="0" shapeId="0">
      <text>
        <t>Source: data/loans.md - Original loan amount at origination
Loan: Huntington Bank, 3 T880 DC &amp; 1 T680 Slpr (May 2022). Source: Meiborg_Debt_Schedule_202511.xlsx</t>
      </text>
    </comment>
    <comment ref="B283" authorId="0" shapeId="0">
      <text>
        <t>Source: data/loans.md - Interest rate 4.18%
Loan: Huntington Bank, 3 T880 DC &amp; 1 T680 Slpr (May 2022). Source: Meiborg_Debt_Schedule_202511.xlsx</t>
      </text>
    </comment>
    <comment ref="B284" authorId="0" shapeId="0">
      <text>
        <t>Driver: Calculated from origination 2022-05-18 to maturity 2027-11-18</t>
      </text>
    </comment>
    <comment ref="B285" authorId="0" shapeId="0">
      <text>
        <t>Source: data/loans.md - Monthly P&amp;I payment
Loan: Huntington Bank, 3 T880 DC &amp; 1 T680 Slpr (May 2022). Source: Meiborg_Debt_Schedule_202511.xlsx</t>
      </text>
    </comment>
    <comment ref="B286" authorId="0" shapeId="0">
      <text>
        <t>Loan type classification: Standard P&amp;I payments</t>
      </text>
    </comment>
    <comment ref="B287" authorId="0" shapeId="0">
      <text>
        <t>Source: data/loans.md - Equipment purpose</t>
      </text>
    </comment>
    <comment ref="B288" authorId="0" shapeId="0">
      <text>
        <t>Source: data/loans.md - Loan maturity date</t>
      </text>
    </comment>
    <comment ref="C294" authorId="0" shapeId="0">
      <text>
        <t>Loan: Huntington Bank, 3 T880 DC &amp; 1 T680 Slpr (May 2022). Source: Meiborg_Debt_Schedule_202511.xlsx</t>
      </text>
    </comment>
    <comment ref="D294" authorId="0" shapeId="0">
      <text>
        <t>Loan: Huntington Bank, 3 T880 DC &amp; 1 T680 Slpr (May 2022). Source: Meiborg_Debt_Schedule_202511.xlsx</t>
      </text>
    </comment>
    <comment ref="E294" authorId="0" shapeId="0">
      <text>
        <t>Loan: Huntington Bank, 3 T880 DC &amp; 1 T680 Slpr (May 2022). Source: Meiborg_Debt_Schedule_202511.xlsx</t>
      </text>
    </comment>
    <comment ref="F294" authorId="0" shapeId="0">
      <text>
        <t>Loan: Huntington Bank, 3 T880 DC &amp; 1 T680 Slpr (May 2022). Source: Meiborg_Debt_Schedule_202511.xlsx</t>
      </text>
    </comment>
    <comment ref="C295" authorId="0" shapeId="0">
      <text>
        <t>Loan: Huntington Bank, 3 T880 DC &amp; 1 T680 Slpr (May 2022). Source: Meiborg_Debt_Schedule_202511.xlsx</t>
      </text>
    </comment>
    <comment ref="D295" authorId="0" shapeId="0">
      <text>
        <t>Loan: Huntington Bank, 3 T880 DC &amp; 1 T680 Slpr (May 2022). Source: Meiborg_Debt_Schedule_202511.xlsx</t>
      </text>
    </comment>
    <comment ref="E295" authorId="0" shapeId="0">
      <text>
        <t>Loan: Huntington Bank, 3 T880 DC &amp; 1 T680 Slpr (May 2022). Source: Meiborg_Debt_Schedule_202511.xlsx</t>
      </text>
    </comment>
    <comment ref="F295" authorId="0" shapeId="0">
      <text>
        <t>Loan: Huntington Bank, 3 T880 DC &amp; 1 T680 Slpr (May 2022). Source: Meiborg_Debt_Schedule_202511.xlsx</t>
      </text>
    </comment>
    <comment ref="C296" authorId="0" shapeId="0">
      <text>
        <t>Loan: Huntington Bank, 3 T880 DC &amp; 1 T680 Slpr (May 2022). Source: Meiborg_Debt_Schedule_202511.xlsx</t>
      </text>
    </comment>
    <comment ref="D296" authorId="0" shapeId="0">
      <text>
        <t>Loan: Huntington Bank, 3 T880 DC &amp; 1 T680 Slpr (May 2022). Source: Meiborg_Debt_Schedule_202511.xlsx</t>
      </text>
    </comment>
    <comment ref="E296" authorId="0" shapeId="0">
      <text>
        <t>Loan: Huntington Bank, 3 T880 DC &amp; 1 T680 Slpr (May 2022). Source: Meiborg_Debt_Schedule_202511.xlsx</t>
      </text>
    </comment>
    <comment ref="F296" authorId="0" shapeId="0">
      <text>
        <t>Loan: Huntington Bank, 3 T880 DC &amp; 1 T680 Slpr (May 2022). Source: Meiborg_Debt_Schedule_202511.xlsx</t>
      </text>
    </comment>
    <comment ref="C297" authorId="0" shapeId="0">
      <text>
        <t>Loan: Huntington Bank, 3 T880 DC &amp; 1 T680 Slpr (May 2022). Source: Meiborg_Debt_Schedule_202511.xlsx</t>
      </text>
    </comment>
    <comment ref="D297" authorId="0" shapeId="0">
      <text>
        <t>Loan: Huntington Bank, 3 T880 DC &amp; 1 T680 Slpr (May 2022). Source: Meiborg_Debt_Schedule_202511.xlsx</t>
      </text>
    </comment>
    <comment ref="E297" authorId="0" shapeId="0">
      <text>
        <t>Loan: Huntington Bank, 3 T880 DC &amp; 1 T680 Slpr (May 2022). Source: Meiborg_Debt_Schedule_202511.xlsx</t>
      </text>
    </comment>
    <comment ref="F297" authorId="0" shapeId="0">
      <text>
        <t>Loan: Huntington Bank, 3 T880 DC &amp; 1 T680 Slpr (May 2022). Source: Meiborg_Debt_Schedule_202511.xlsx</t>
      </text>
    </comment>
    <comment ref="C298" authorId="0" shapeId="0">
      <text>
        <t>Loan: Huntington Bank, 3 T880 DC &amp; 1 T680 Slpr (May 2022). Source: Meiborg_Debt_Schedule_202511.xlsx</t>
      </text>
    </comment>
    <comment ref="D298" authorId="0" shapeId="0">
      <text>
        <t>Loan: Huntington Bank, 3 T880 DC &amp; 1 T680 Slpr (May 2022). Source: Meiborg_Debt_Schedule_202511.xlsx</t>
      </text>
    </comment>
    <comment ref="E298" authorId="0" shapeId="0">
      <text>
        <t>Loan: Huntington Bank, 3 T880 DC &amp; 1 T680 Slpr (May 2022). Source: Meiborg_Debt_Schedule_202511.xlsx</t>
      </text>
    </comment>
    <comment ref="F298" authorId="0" shapeId="0">
      <text>
        <t>Loan: Huntington Bank, 3 T880 DC &amp; 1 T680 Slpr (May 2022). Source: Meiborg_Debt_Schedule_202511.xlsx</t>
      </text>
    </comment>
    <comment ref="C299" authorId="0" shapeId="0">
      <text>
        <t>Loan: Huntington Bank, 3 T880 DC &amp; 1 T680 Slpr (May 2022). Source: Meiborg_Debt_Schedule_202511.xlsx</t>
      </text>
    </comment>
    <comment ref="D299" authorId="0" shapeId="0">
      <text>
        <t>Loan: Huntington Bank, 3 T880 DC &amp; 1 T680 Slpr (May 2022). Source: Meiborg_Debt_Schedule_202511.xlsx</t>
      </text>
    </comment>
    <comment ref="E299" authorId="0" shapeId="0">
      <text>
        <t>Loan: Huntington Bank, 3 T880 DC &amp; 1 T680 Slpr (May 2022). Source: Meiborg_Debt_Schedule_202511.xlsx</t>
      </text>
    </comment>
    <comment ref="F299" authorId="0" shapeId="0">
      <text>
        <t>Loan: Huntington Bank, 3 T880 DC &amp; 1 T680 Slpr (May 2022). Source: Meiborg_Debt_Schedule_202511.xlsx</t>
      </text>
    </comment>
    <comment ref="C300" authorId="0" shapeId="0">
      <text>
        <t>Loan: Huntington Bank, 3 T880 DC &amp; 1 T680 Slpr (May 2022). Source: Meiborg_Debt_Schedule_202511.xlsx</t>
      </text>
    </comment>
    <comment ref="D300" authorId="0" shapeId="0">
      <text>
        <t>Loan: Huntington Bank, 3 T880 DC &amp; 1 T680 Slpr (May 2022). Source: Meiborg_Debt_Schedule_202511.xlsx</t>
      </text>
    </comment>
    <comment ref="E300" authorId="0" shapeId="0">
      <text>
        <t>Loan: Huntington Bank, 3 T880 DC &amp; 1 T680 Slpr (May 2022). Source: Meiborg_Debt_Schedule_202511.xlsx</t>
      </text>
    </comment>
    <comment ref="F300" authorId="0" shapeId="0">
      <text>
        <t>Loan: Huntington Bank, 3 T880 DC &amp; 1 T680 Slpr (May 2022). Source: Meiborg_Debt_Schedule_202511.xlsx</t>
      </text>
    </comment>
    <comment ref="C301" authorId="0" shapeId="0">
      <text>
        <t>Loan: Huntington Bank, 3 T880 DC &amp; 1 T680 Slpr (May 2022). Source: Meiborg_Debt_Schedule_202511.xlsx</t>
      </text>
    </comment>
    <comment ref="D301" authorId="0" shapeId="0">
      <text>
        <t>Loan: Huntington Bank, 3 T880 DC &amp; 1 T680 Slpr (May 2022). Source: Meiborg_Debt_Schedule_202511.xlsx</t>
      </text>
    </comment>
    <comment ref="E301" authorId="0" shapeId="0">
      <text>
        <t>Loan: Huntington Bank, 3 T880 DC &amp; 1 T680 Slpr (May 2022). Source: Meiborg_Debt_Schedule_202511.xlsx</t>
      </text>
    </comment>
    <comment ref="F301" authorId="0" shapeId="0">
      <text>
        <t>Loan: Huntington Bank, 3 T880 DC &amp; 1 T680 Slpr (May 2022). Source: Meiborg_Debt_Schedule_202511.xlsx</t>
      </text>
    </comment>
    <comment ref="C302" authorId="0" shapeId="0">
      <text>
        <t>Loan: Huntington Bank, 3 T880 DC &amp; 1 T680 Slpr (May 2022). Source: Meiborg_Debt_Schedule_202511.xlsx</t>
      </text>
    </comment>
    <comment ref="D302" authorId="0" shapeId="0">
      <text>
        <t>Loan: Huntington Bank, 3 T880 DC &amp; 1 T680 Slpr (May 2022). Source: Meiborg_Debt_Schedule_202511.xlsx</t>
      </text>
    </comment>
    <comment ref="E302" authorId="0" shapeId="0">
      <text>
        <t>Loan: Huntington Bank, 3 T880 DC &amp; 1 T680 Slpr (May 2022). Source: Meiborg_Debt_Schedule_202511.xlsx</t>
      </text>
    </comment>
    <comment ref="F302" authorId="0" shapeId="0">
      <text>
        <t>Loan: Huntington Bank, 3 T880 DC &amp; 1 T680 Slpr (May 2022). Source: Meiborg_Debt_Schedule_202511.xlsx</t>
      </text>
    </comment>
    <comment ref="C303" authorId="0" shapeId="0">
      <text>
        <t>Loan: Huntington Bank, 3 T880 DC &amp; 1 T680 Slpr (May 2022). Source: Meiborg_Debt_Schedule_202511.xlsx</t>
      </text>
    </comment>
    <comment ref="D303" authorId="0" shapeId="0">
      <text>
        <t>Loan: Huntington Bank, 3 T880 DC &amp; 1 T680 Slpr (May 2022). Source: Meiborg_Debt_Schedule_202511.xlsx</t>
      </text>
    </comment>
    <comment ref="E303" authorId="0" shapeId="0">
      <text>
        <t>Loan: Huntington Bank, 3 T880 DC &amp; 1 T680 Slpr (May 2022). Source: Meiborg_Debt_Schedule_202511.xlsx</t>
      </text>
    </comment>
    <comment ref="F303" authorId="0" shapeId="0">
      <text>
        <t>Loan: Huntington Bank, 3 T880 DC &amp; 1 T680 Slpr (May 2022). Source: Meiborg_Debt_Schedule_202511.xlsx</t>
      </text>
    </comment>
    <comment ref="C304" authorId="0" shapeId="0">
      <text>
        <t>Loan: Huntington Bank, 3 T880 DC &amp; 1 T680 Slpr (May 2022). Source: Meiborg_Debt_Schedule_202511.xlsx</t>
      </text>
    </comment>
    <comment ref="D304" authorId="0" shapeId="0">
      <text>
        <t>Loan: Huntington Bank, 3 T880 DC &amp; 1 T680 Slpr (May 2022). Source: Meiborg_Debt_Schedule_202511.xlsx</t>
      </text>
    </comment>
    <comment ref="E304" authorId="0" shapeId="0">
      <text>
        <t>Loan: Huntington Bank, 3 T880 DC &amp; 1 T680 Slpr (May 2022). Source: Meiborg_Debt_Schedule_202511.xlsx</t>
      </text>
    </comment>
    <comment ref="F304" authorId="0" shapeId="0">
      <text>
        <t>Loan: Huntington Bank, 3 T880 DC &amp; 1 T680 Slpr (May 2022). Source: Meiborg_Debt_Schedule_202511.xlsx</t>
      </text>
    </comment>
    <comment ref="C305" authorId="0" shapeId="0">
      <text>
        <t>Loan: Huntington Bank, 3 T880 DC &amp; 1 T680 Slpr (May 2022). Source: Meiborg_Debt_Schedule_202511.xlsx</t>
      </text>
    </comment>
    <comment ref="D305" authorId="0" shapeId="0">
      <text>
        <t>Loan: Huntington Bank, 3 T880 DC &amp; 1 T680 Slpr (May 2022). Source: Meiborg_Debt_Schedule_202511.xlsx</t>
      </text>
    </comment>
    <comment ref="E305" authorId="0" shapeId="0">
      <text>
        <t>Loan: Huntington Bank, 3 T880 DC &amp; 1 T680 Slpr (May 2022). Source: Meiborg_Debt_Schedule_202511.xlsx</t>
      </text>
    </comment>
    <comment ref="F305" authorId="0" shapeId="0">
      <text>
        <t>Loan: Huntington Bank, 3 T880 DC &amp; 1 T680 Slpr (May 2022). Source: Meiborg_Debt_Schedule_202511.xlsx</t>
      </text>
    </comment>
    <comment ref="C306" authorId="0" shapeId="0">
      <text>
        <t>Loan: Huntington Bank, 3 T880 DC &amp; 1 T680 Slpr (May 2022). Source: Meiborg_Debt_Schedule_202511.xlsx</t>
      </text>
    </comment>
    <comment ref="D306" authorId="0" shapeId="0">
      <text>
        <t>Loan: Huntington Bank, 3 T880 DC &amp; 1 T680 Slpr (May 2022). Source: Meiborg_Debt_Schedule_202511.xlsx</t>
      </text>
    </comment>
    <comment ref="E306" authorId="0" shapeId="0">
      <text>
        <t>Loan: Huntington Bank, 3 T880 DC &amp; 1 T680 Slpr (May 2022). Source: Meiborg_Debt_Schedule_202511.xlsx</t>
      </text>
    </comment>
    <comment ref="F306" authorId="0" shapeId="0">
      <text>
        <t>Loan: Huntington Bank, 3 T880 DC &amp; 1 T680 Slpr (May 2022). Source: Meiborg_Debt_Schedule_202511.xlsx</t>
      </text>
    </comment>
    <comment ref="C307" authorId="0" shapeId="0">
      <text>
        <t>Loan: Huntington Bank, 3 T880 DC &amp; 1 T680 Slpr (May 2022). Source: Meiborg_Debt_Schedule_202511.xlsx</t>
      </text>
    </comment>
    <comment ref="D307" authorId="0" shapeId="0">
      <text>
        <t>Loan: Huntington Bank, 3 T880 DC &amp; 1 T680 Slpr (May 2022). Source: Meiborg_Debt_Schedule_202511.xlsx</t>
      </text>
    </comment>
    <comment ref="E307" authorId="0" shapeId="0">
      <text>
        <t>Loan: Huntington Bank, 3 T880 DC &amp; 1 T680 Slpr (May 2022). Source: Meiborg_Debt_Schedule_202511.xlsx</t>
      </text>
    </comment>
    <comment ref="F307" authorId="0" shapeId="0">
      <text>
        <t>Loan: Huntington Bank, 3 T880 DC &amp; 1 T680 Slpr (May 2022). Source: Meiborg_Debt_Schedule_202511.xlsx</t>
      </text>
    </comment>
    <comment ref="C308" authorId="0" shapeId="0">
      <text>
        <t>Loan: Huntington Bank, 3 T880 DC &amp; 1 T680 Slpr (May 2022). Source: Meiborg_Debt_Schedule_202511.xlsx</t>
      </text>
    </comment>
    <comment ref="D308" authorId="0" shapeId="0">
      <text>
        <t>Loan: Huntington Bank, 3 T880 DC &amp; 1 T680 Slpr (May 2022). Source: Meiborg_Debt_Schedule_202511.xlsx</t>
      </text>
    </comment>
    <comment ref="E308" authorId="0" shapeId="0">
      <text>
        <t>Loan: Huntington Bank, 3 T880 DC &amp; 1 T680 Slpr (May 2022). Source: Meiborg_Debt_Schedule_202511.xlsx</t>
      </text>
    </comment>
    <comment ref="F308" authorId="0" shapeId="0">
      <text>
        <t>Loan: Huntington Bank, 3 T880 DC &amp; 1 T680 Slpr (May 2022). Source: Meiborg_Debt_Schedule_202511.xlsx</t>
      </text>
    </comment>
    <comment ref="C309" authorId="0" shapeId="0">
      <text>
        <t>Loan: Huntington Bank, 3 T880 DC &amp; 1 T680 Slpr (May 2022). Source: Meiborg_Debt_Schedule_202511.xlsx</t>
      </text>
    </comment>
    <comment ref="D309" authorId="0" shapeId="0">
      <text>
        <t>Loan: Huntington Bank, 3 T880 DC &amp; 1 T680 Slpr (May 2022). Source: Meiborg_Debt_Schedule_202511.xlsx</t>
      </text>
    </comment>
    <comment ref="E309" authorId="0" shapeId="0">
      <text>
        <t>Loan: Huntington Bank, 3 T880 DC &amp; 1 T680 Slpr (May 2022). Source: Meiborg_Debt_Schedule_202511.xlsx</t>
      </text>
    </comment>
    <comment ref="F309" authorId="0" shapeId="0">
      <text>
        <t>Loan: Huntington Bank, 3 T880 DC &amp; 1 T680 Slpr (May 2022). Source: Meiborg_Debt_Schedule_202511.xlsx</t>
      </text>
    </comment>
    <comment ref="C310" authorId="0" shapeId="0">
      <text>
        <t>Loan: Huntington Bank, 3 T880 DC &amp; 1 T680 Slpr (May 2022). Source: Meiborg_Debt_Schedule_202511.xlsx</t>
      </text>
    </comment>
    <comment ref="D310" authorId="0" shapeId="0">
      <text>
        <t>Loan: Huntington Bank, 3 T880 DC &amp; 1 T680 Slpr (May 2022). Source: Meiborg_Debt_Schedule_202511.xlsx</t>
      </text>
    </comment>
    <comment ref="E310" authorId="0" shapeId="0">
      <text>
        <t>Loan: Huntington Bank, 3 T880 DC &amp; 1 T680 Slpr (May 2022). Source: Meiborg_Debt_Schedule_202511.xlsx</t>
      </text>
    </comment>
    <comment ref="F310" authorId="0" shapeId="0">
      <text>
        <t>Loan: Huntington Bank, 3 T880 DC &amp; 1 T680 Slpr (May 2022). Source: Meiborg_Debt_Schedule_202511.xlsx</t>
      </text>
    </comment>
    <comment ref="C311" authorId="0" shapeId="0">
      <text>
        <t>Loan: Huntington Bank, 3 T880 DC &amp; 1 T680 Slpr (May 2022). Source: Meiborg_Debt_Schedule_202511.xlsx</t>
      </text>
    </comment>
    <comment ref="D311" authorId="0" shapeId="0">
      <text>
        <t>Loan: Huntington Bank, 3 T880 DC &amp; 1 T680 Slpr (May 2022). Source: Meiborg_Debt_Schedule_202511.xlsx</t>
      </text>
    </comment>
    <comment ref="E311" authorId="0" shapeId="0">
      <text>
        <t>Loan: Huntington Bank, 3 T880 DC &amp; 1 T680 Slpr (May 2022). Source: Meiborg_Debt_Schedule_202511.xlsx</t>
      </text>
    </comment>
    <comment ref="F311" authorId="0" shapeId="0">
      <text>
        <t>Loan: Huntington Bank, 3 T880 DC &amp; 1 T680 Slpr (May 2022). Source: Meiborg_Debt_Schedule_202511.xlsx</t>
      </text>
    </comment>
    <comment ref="C312" authorId="0" shapeId="0">
      <text>
        <t>Loan: Huntington Bank, 3 T880 DC &amp; 1 T680 Slpr (May 2022). Source: Meiborg_Debt_Schedule_202511.xlsx</t>
      </text>
    </comment>
    <comment ref="D312" authorId="0" shapeId="0">
      <text>
        <t>Loan: Huntington Bank, 3 T880 DC &amp; 1 T680 Slpr (May 2022). Source: Meiborg_Debt_Schedule_202511.xlsx</t>
      </text>
    </comment>
    <comment ref="E312" authorId="0" shapeId="0">
      <text>
        <t>Loan: Huntington Bank, 3 T880 DC &amp; 1 T680 Slpr (May 2022). Source: Meiborg_Debt_Schedule_202511.xlsx</t>
      </text>
    </comment>
    <comment ref="F312" authorId="0" shapeId="0">
      <text>
        <t>Loan: Huntington Bank, 3 T880 DC &amp; 1 T680 Slpr (May 2022). Source: Meiborg_Debt_Schedule_202511.xlsx</t>
      </text>
    </comment>
    <comment ref="C313" authorId="0" shapeId="0">
      <text>
        <t>Loan: Huntington Bank, 3 T880 DC &amp; 1 T680 Slpr (May 2022). Source: Meiborg_Debt_Schedule_202511.xlsx</t>
      </text>
    </comment>
    <comment ref="D313" authorId="0" shapeId="0">
      <text>
        <t>Loan: Huntington Bank, 3 T880 DC &amp; 1 T680 Slpr (May 2022). Source: Meiborg_Debt_Schedule_202511.xlsx</t>
      </text>
    </comment>
    <comment ref="E313" authorId="0" shapeId="0">
      <text>
        <t>Loan: Huntington Bank, 3 T880 DC &amp; 1 T680 Slpr (May 2022). Source: Meiborg_Debt_Schedule_202511.xlsx</t>
      </text>
    </comment>
    <comment ref="F313" authorId="0" shapeId="0">
      <text>
        <t>Loan: Huntington Bank, 3 T880 DC &amp; 1 T680 Slpr (May 2022). Source: Meiborg_Debt_Schedule_202511.xlsx</t>
      </text>
    </comment>
    <comment ref="C314" authorId="0" shapeId="0">
      <text>
        <t>Loan: Huntington Bank, 3 T880 DC &amp; 1 T680 Slpr (May 2022). Source: Meiborg_Debt_Schedule_202511.xlsx</t>
      </text>
    </comment>
    <comment ref="D314" authorId="0" shapeId="0">
      <text>
        <t>Loan: Huntington Bank, 3 T880 DC &amp; 1 T680 Slpr (May 2022). Source: Meiborg_Debt_Schedule_202511.xlsx</t>
      </text>
    </comment>
    <comment ref="E314" authorId="0" shapeId="0">
      <text>
        <t>Loan: Huntington Bank, 3 T880 DC &amp; 1 T680 Slpr (May 2022). Source: Meiborg_Debt_Schedule_202511.xlsx</t>
      </text>
    </comment>
    <comment ref="F314" authorId="0" shapeId="0">
      <text>
        <t>Loan: Huntington Bank, 3 T880 DC &amp; 1 T680 Slpr (May 2022). Source: Meiborg_Debt_Schedule_202511.xlsx</t>
      </text>
    </comment>
    <comment ref="C315" authorId="0" shapeId="0">
      <text>
        <t>Loan: Huntington Bank, 3 T880 DC &amp; 1 T680 Slpr (May 2022). Source: Meiborg_Debt_Schedule_202511.xlsx</t>
      </text>
    </comment>
    <comment ref="D315" authorId="0" shapeId="0">
      <text>
        <t>Loan: Huntington Bank, 3 T880 DC &amp; 1 T680 Slpr (May 2022). Source: Meiborg_Debt_Schedule_202511.xlsx</t>
      </text>
    </comment>
    <comment ref="E315" authorId="0" shapeId="0">
      <text>
        <t>Loan: Huntington Bank, 3 T880 DC &amp; 1 T680 Slpr (May 2022). Source: Meiborg_Debt_Schedule_202511.xlsx</t>
      </text>
    </comment>
    <comment ref="F315" authorId="0" shapeId="0">
      <text>
        <t>Loan: Huntington Bank, 3 T880 DC &amp; 1 T680 Slpr (May 2022). Source: Meiborg_Debt_Schedule_202511.xlsx</t>
      </text>
    </comment>
    <comment ref="C316" authorId="0" shapeId="0">
      <text>
        <t>Loan: Huntington Bank, 3 T880 DC &amp; 1 T680 Slpr (May 2022). Source: Meiborg_Debt_Schedule_202511.xlsx</t>
      </text>
    </comment>
    <comment ref="D316" authorId="0" shapeId="0">
      <text>
        <t>Loan: Huntington Bank, 3 T880 DC &amp; 1 T680 Slpr (May 2022). Source: Meiborg_Debt_Schedule_202511.xlsx</t>
      </text>
    </comment>
    <comment ref="E316" authorId="0" shapeId="0">
      <text>
        <t>Loan: Huntington Bank, 3 T880 DC &amp; 1 T680 Slpr (May 2022). Source: Meiborg_Debt_Schedule_202511.xlsx</t>
      </text>
    </comment>
    <comment ref="F316" authorId="0" shapeId="0">
      <text>
        <t>Loan: Huntington Bank, 3 T880 DC &amp; 1 T680 Slpr (May 2022). Source: Meiborg_Debt_Schedule_202511.xlsx</t>
      </text>
    </comment>
    <comment ref="C317" authorId="0" shapeId="0">
      <text>
        <t>Loan: Huntington Bank, 3 T880 DC &amp; 1 T680 Slpr (May 2022). Source: Meiborg_Debt_Schedule_202511.xlsx</t>
      </text>
    </comment>
    <comment ref="D317" authorId="0" shapeId="0">
      <text>
        <t>Loan: Huntington Bank, 3 T880 DC &amp; 1 T680 Slpr (May 2022). Source: Meiborg_Debt_Schedule_202511.xlsx</t>
      </text>
    </comment>
    <comment ref="E317" authorId="0" shapeId="0">
      <text>
        <t>Loan: Huntington Bank, 3 T880 DC &amp; 1 T680 Slpr (May 2022). Source: Meiborg_Debt_Schedule_202511.xlsx</t>
      </text>
    </comment>
    <comment ref="F317" authorId="0" shapeId="0">
      <text>
        <t>Loan: Huntington Bank, 3 T880 DC &amp; 1 T680 Slpr (May 2022). Source: Meiborg_Debt_Schedule_202511.xlsx</t>
      </text>
    </comment>
    <comment ref="C318" authorId="0" shapeId="0">
      <text>
        <t>Loan: Huntington Bank, 3 T880 DC &amp; 1 T680 Slpr (May 2022). Source: Meiborg_Debt_Schedule_202511.xlsx</t>
      </text>
    </comment>
    <comment ref="D318" authorId="0" shapeId="0">
      <text>
        <t>Loan: Huntington Bank, 3 T880 DC &amp; 1 T680 Slpr (May 2022). Source: Meiborg_Debt_Schedule_202511.xlsx</t>
      </text>
    </comment>
    <comment ref="E318" authorId="0" shapeId="0">
      <text>
        <t>Loan: Huntington Bank, 3 T880 DC &amp; 1 T680 Slpr (May 2022). Source: Meiborg_Debt_Schedule_202511.xlsx</t>
      </text>
    </comment>
    <comment ref="F318" authorId="0" shapeId="0">
      <text>
        <t>Loan: Huntington Bank, 3 T880 DC &amp; 1 T680 Slpr (May 2022). Source: Meiborg_Debt_Schedule_202511.xlsx</t>
      </text>
    </comment>
    <comment ref="C319" authorId="0" shapeId="0">
      <text>
        <t>Loan: Huntington Bank, 3 T880 DC &amp; 1 T680 Slpr (May 2022). Source: Meiborg_Debt_Schedule_202511.xlsx</t>
      </text>
    </comment>
    <comment ref="D319" authorId="0" shapeId="0">
      <text>
        <t>Loan: Huntington Bank, 3 T880 DC &amp; 1 T680 Slpr (May 2022). Source: Meiborg_Debt_Schedule_202511.xlsx</t>
      </text>
    </comment>
    <comment ref="E319" authorId="0" shapeId="0">
      <text>
        <t>Loan: Huntington Bank, 3 T880 DC &amp; 1 T680 Slpr (May 2022). Source: Meiborg_Debt_Schedule_202511.xlsx</t>
      </text>
    </comment>
    <comment ref="F319" authorId="0" shapeId="0">
      <text>
        <t>Loan: Huntington Bank, 3 T880 DC &amp; 1 T680 Slpr (May 2022). Source: Meiborg_Debt_Schedule_202511.xlsx</t>
      </text>
    </comment>
    <comment ref="C320" authorId="0" shapeId="0">
      <text>
        <t>Loan: Huntington Bank, 3 T880 DC &amp; 1 T680 Slpr (May 2022). Source: Meiborg_Debt_Schedule_202511.xlsx</t>
      </text>
    </comment>
    <comment ref="D320" authorId="0" shapeId="0">
      <text>
        <t>Loan: Huntington Bank, 3 T880 DC &amp; 1 T680 Slpr (May 2022). Source: Meiborg_Debt_Schedule_202511.xlsx</t>
      </text>
    </comment>
    <comment ref="E320" authorId="0" shapeId="0">
      <text>
        <t>Loan: Huntington Bank, 3 T880 DC &amp; 1 T680 Slpr (May 2022). Source: Meiborg_Debt_Schedule_202511.xlsx</t>
      </text>
    </comment>
    <comment ref="F320" authorId="0" shapeId="0">
      <text>
        <t>Loan: Huntington Bank, 3 T880 DC &amp; 1 T680 Slpr (May 2022). Source: Meiborg_Debt_Schedule_202511.xlsx</t>
      </text>
    </comment>
    <comment ref="C321" authorId="0" shapeId="0">
      <text>
        <t>Loan: Huntington Bank, 3 T880 DC &amp; 1 T680 Slpr (May 2022). Source: Meiborg_Debt_Schedule_202511.xlsx</t>
      </text>
    </comment>
    <comment ref="D321" authorId="0" shapeId="0">
      <text>
        <t>Loan: Huntington Bank, 3 T880 DC &amp; 1 T680 Slpr (May 2022). Source: Meiborg_Debt_Schedule_202511.xlsx</t>
      </text>
    </comment>
    <comment ref="E321" authorId="0" shapeId="0">
      <text>
        <t>Loan: Huntington Bank, 3 T880 DC &amp; 1 T680 Slpr (May 2022). Source: Meiborg_Debt_Schedule_202511.xlsx</t>
      </text>
    </comment>
    <comment ref="F321" authorId="0" shapeId="0">
      <text>
        <t>Loan: Huntington Bank, 3 T880 DC &amp; 1 T680 Slpr (May 2022). Source: Meiborg_Debt_Schedule_202511.xlsx</t>
      </text>
    </comment>
    <comment ref="C322" authorId="0" shapeId="0">
      <text>
        <t>Loan: Huntington Bank, 3 T880 DC &amp; 1 T680 Slpr (May 2022). Source: Meiborg_Debt_Schedule_202511.xlsx</t>
      </text>
    </comment>
    <comment ref="D322" authorId="0" shapeId="0">
      <text>
        <t>Loan: Huntington Bank, 3 T880 DC &amp; 1 T680 Slpr (May 2022). Source: Meiborg_Debt_Schedule_202511.xlsx</t>
      </text>
    </comment>
    <comment ref="E322" authorId="0" shapeId="0">
      <text>
        <t>Loan: Huntington Bank, 3 T880 DC &amp; 1 T680 Slpr (May 2022). Source: Meiborg_Debt_Schedule_202511.xlsx</t>
      </text>
    </comment>
    <comment ref="F322" authorId="0" shapeId="0">
      <text>
        <t>Loan: Huntington Bank, 3 T880 DC &amp; 1 T680 Slpr (May 2022). Source: Meiborg_Debt_Schedule_202511.xlsx</t>
      </text>
    </comment>
    <comment ref="C323" authorId="0" shapeId="0">
      <text>
        <t>Loan: Huntington Bank, 3 T880 DC &amp; 1 T680 Slpr (May 2022). Source: Meiborg_Debt_Schedule_202511.xlsx</t>
      </text>
    </comment>
    <comment ref="D323" authorId="0" shapeId="0">
      <text>
        <t>Loan: Huntington Bank, 3 T880 DC &amp; 1 T680 Slpr (May 2022). Source: Meiborg_Debt_Schedule_202511.xlsx</t>
      </text>
    </comment>
    <comment ref="E323" authorId="0" shapeId="0">
      <text>
        <t>Loan: Huntington Bank, 3 T880 DC &amp; 1 T680 Slpr (May 2022). Source: Meiborg_Debt_Schedule_202511.xlsx</t>
      </text>
    </comment>
    <comment ref="F323" authorId="0" shapeId="0">
      <text>
        <t>Loan: Huntington Bank, 3 T880 DC &amp; 1 T680 Slpr (May 2022). Source: Meiborg_Debt_Schedule_202511.xlsx</t>
      </text>
    </comment>
    <comment ref="C324" authorId="0" shapeId="0">
      <text>
        <t>Loan: Huntington Bank, 3 T880 DC &amp; 1 T680 Slpr (May 2022). Source: Meiborg_Debt_Schedule_202511.xlsx</t>
      </text>
    </comment>
    <comment ref="D324" authorId="0" shapeId="0">
      <text>
        <t>Loan: Huntington Bank, 3 T880 DC &amp; 1 T680 Slpr (May 2022). Source: Meiborg_Debt_Schedule_202511.xlsx</t>
      </text>
    </comment>
    <comment ref="E324" authorId="0" shapeId="0">
      <text>
        <t>Loan: Huntington Bank, 3 T880 DC &amp; 1 T680 Slpr (May 2022). Source: Meiborg_Debt_Schedule_202511.xlsx</t>
      </text>
    </comment>
    <comment ref="F324" authorId="0" shapeId="0">
      <text>
        <t>Loan: Huntington Bank, 3 T880 DC &amp; 1 T680 Slpr (May 2022). Source: Meiborg_Debt_Schedule_202511.xlsx</t>
      </text>
    </comment>
    <comment ref="C325" authorId="0" shapeId="0">
      <text>
        <t>Loan: Huntington Bank, 3 T880 DC &amp; 1 T680 Slpr (May 2022). Source: Meiborg_Debt_Schedule_202511.xlsx</t>
      </text>
    </comment>
    <comment ref="D325" authorId="0" shapeId="0">
      <text>
        <t>Loan: Huntington Bank, 3 T880 DC &amp; 1 T680 Slpr (May 2022). Source: Meiborg_Debt_Schedule_202511.xlsx</t>
      </text>
    </comment>
    <comment ref="E325" authorId="0" shapeId="0">
      <text>
        <t>Loan: Huntington Bank, 3 T880 DC &amp; 1 T680 Slpr (May 2022). Source: Meiborg_Debt_Schedule_202511.xlsx</t>
      </text>
    </comment>
    <comment ref="F325" authorId="0" shapeId="0">
      <text>
        <t>Loan: Huntington Bank, 3 T880 DC &amp; 1 T680 Slpr (May 2022). Source: Meiborg_Debt_Schedule_202511.xlsx</t>
      </text>
    </comment>
    <comment ref="C326" authorId="0" shapeId="0">
      <text>
        <t>Loan: Huntington Bank, 3 T880 DC &amp; 1 T680 Slpr (May 2022). Source: Meiborg_Debt_Schedule_202511.xlsx</t>
      </text>
    </comment>
    <comment ref="D326" authorId="0" shapeId="0">
      <text>
        <t>Loan: Huntington Bank, 3 T880 DC &amp; 1 T680 Slpr (May 2022). Source: Meiborg_Debt_Schedule_202511.xlsx</t>
      </text>
    </comment>
    <comment ref="E326" authorId="0" shapeId="0">
      <text>
        <t>Loan: Huntington Bank, 3 T880 DC &amp; 1 T680 Slpr (May 2022). Source: Meiborg_Debt_Schedule_202511.xlsx</t>
      </text>
    </comment>
    <comment ref="F326" authorId="0" shapeId="0">
      <text>
        <t>Loan: Huntington Bank, 3 T880 DC &amp; 1 T680 Slpr (May 2022). Source: Meiborg_Debt_Schedule_202511.xlsx</t>
      </text>
    </comment>
    <comment ref="C327" authorId="0" shapeId="0">
      <text>
        <t>Loan: Huntington Bank, 3 T880 DC &amp; 1 T680 Slpr (May 2022). Source: Meiborg_Debt_Schedule_202511.xlsx</t>
      </text>
    </comment>
    <comment ref="D327" authorId="0" shapeId="0">
      <text>
        <t>Loan: Huntington Bank, 3 T880 DC &amp; 1 T680 Slpr (May 2022). Source: Meiborg_Debt_Schedule_202511.xlsx</t>
      </text>
    </comment>
    <comment ref="E327" authorId="0" shapeId="0">
      <text>
        <t>Loan: Huntington Bank, 3 T880 DC &amp; 1 T680 Slpr (May 2022). Source: Meiborg_Debt_Schedule_202511.xlsx</t>
      </text>
    </comment>
    <comment ref="F327" authorId="0" shapeId="0">
      <text>
        <t>Loan: Huntington Bank, 3 T880 DC &amp; 1 T680 Slpr (May 2022). Source: Meiborg_Debt_Schedule_202511.xlsx</t>
      </text>
    </comment>
    <comment ref="C328" authorId="0" shapeId="0">
      <text>
        <t>Loan: Huntington Bank, 3 T880 DC &amp; 1 T680 Slpr (May 2022). Source: Meiborg_Debt_Schedule_202511.xlsx</t>
      </text>
    </comment>
    <comment ref="D328" authorId="0" shapeId="0">
      <text>
        <t>Loan: Huntington Bank, 3 T880 DC &amp; 1 T680 Slpr (May 2022). Source: Meiborg_Debt_Schedule_202511.xlsx</t>
      </text>
    </comment>
    <comment ref="E328" authorId="0" shapeId="0">
      <text>
        <t>Loan: Huntington Bank, 3 T880 DC &amp; 1 T680 Slpr (May 2022). Source: Meiborg_Debt_Schedule_202511.xlsx</t>
      </text>
    </comment>
    <comment ref="F328" authorId="0" shapeId="0">
      <text>
        <t>Loan: Huntington Bank, 3 T880 DC &amp; 1 T680 Slpr (May 2022). Source: Meiborg_Debt_Schedule_202511.xlsx</t>
      </text>
    </comment>
    <comment ref="C329" authorId="0" shapeId="0">
      <text>
        <t>Loan: Huntington Bank, 3 T880 DC &amp; 1 T680 Slpr (May 2022). Source: Meiborg_Debt_Schedule_202511.xlsx</t>
      </text>
    </comment>
    <comment ref="D329" authorId="0" shapeId="0">
      <text>
        <t>Loan: Huntington Bank, 3 T880 DC &amp; 1 T680 Slpr (May 2022). Source: Meiborg_Debt_Schedule_202511.xlsx</t>
      </text>
    </comment>
    <comment ref="E329" authorId="0" shapeId="0">
      <text>
        <t>Loan: Huntington Bank, 3 T880 DC &amp; 1 T680 Slpr (May 2022). Source: Meiborg_Debt_Schedule_202511.xlsx</t>
      </text>
    </comment>
    <comment ref="F329" authorId="0" shapeId="0">
      <text>
        <t>Loan: Huntington Bank, 3 T880 DC &amp; 1 T680 Slpr (May 2022). Source: Meiborg_Debt_Schedule_202511.xlsx</t>
      </text>
    </comment>
    <comment ref="C330" authorId="0" shapeId="0">
      <text>
        <t>Loan: Huntington Bank, 3 T880 DC &amp; 1 T680 Slpr (May 2022). Source: Meiborg_Debt_Schedule_202511.xlsx</t>
      </text>
    </comment>
    <comment ref="D330" authorId="0" shapeId="0">
      <text>
        <t>Loan: Huntington Bank, 3 T880 DC &amp; 1 T680 Slpr (May 2022). Source: Meiborg_Debt_Schedule_202511.xlsx</t>
      </text>
    </comment>
    <comment ref="E330" authorId="0" shapeId="0">
      <text>
        <t>Loan: Huntington Bank, 3 T880 DC &amp; 1 T680 Slpr (May 2022). Source: Meiborg_Debt_Schedule_202511.xlsx</t>
      </text>
    </comment>
    <comment ref="F330" authorId="0" shapeId="0">
      <text>
        <t>Loan: Huntington Bank, 3 T880 DC &amp; 1 T680 Slpr (May 2022). Source: Meiborg_Debt_Schedule_202511.xlsx</t>
      </text>
    </comment>
    <comment ref="C331" authorId="0" shapeId="0">
      <text>
        <t>Loan: Huntington Bank, 3 T880 DC &amp; 1 T680 Slpr (May 2022). Source: Meiborg_Debt_Schedule_202511.xlsx</t>
      </text>
    </comment>
    <comment ref="D331" authorId="0" shapeId="0">
      <text>
        <t>Loan: Huntington Bank, 3 T880 DC &amp; 1 T680 Slpr (May 2022). Source: Meiborg_Debt_Schedule_202511.xlsx</t>
      </text>
    </comment>
    <comment ref="E331" authorId="0" shapeId="0">
      <text>
        <t>Loan: Huntington Bank, 3 T880 DC &amp; 1 T680 Slpr (May 2022). Source: Meiborg_Debt_Schedule_202511.xlsx</t>
      </text>
    </comment>
    <comment ref="F331" authorId="0" shapeId="0">
      <text>
        <t>Loan: Huntington Bank, 3 T880 DC &amp; 1 T680 Slpr (May 2022). Source: Meiborg_Debt_Schedule_202511.xlsx</t>
      </text>
    </comment>
    <comment ref="C332" authorId="0" shapeId="0">
      <text>
        <t>Loan: Huntington Bank, 3 T880 DC &amp; 1 T680 Slpr (May 2022). Source: Meiborg_Debt_Schedule_202511.xlsx</t>
      </text>
    </comment>
    <comment ref="D332" authorId="0" shapeId="0">
      <text>
        <t>Loan: Huntington Bank, 3 T880 DC &amp; 1 T680 Slpr (May 2022). Source: Meiborg_Debt_Schedule_202511.xlsx</t>
      </text>
    </comment>
    <comment ref="E332" authorId="0" shapeId="0">
      <text>
        <t>Loan: Huntington Bank, 3 T880 DC &amp; 1 T680 Slpr (May 2022). Source: Meiborg_Debt_Schedule_202511.xlsx</t>
      </text>
    </comment>
    <comment ref="F332" authorId="0" shapeId="0">
      <text>
        <t>Loan: Huntington Bank, 3 T880 DC &amp; 1 T680 Slpr (May 2022). Source: Meiborg_Debt_Schedule_202511.xlsx</t>
      </text>
    </comment>
    <comment ref="C333" authorId="0" shapeId="0">
      <text>
        <t>Loan: Huntington Bank, 3 T880 DC &amp; 1 T680 Slpr (May 2022). Source: Meiborg_Debt_Schedule_202511.xlsx</t>
      </text>
    </comment>
    <comment ref="D333" authorId="0" shapeId="0">
      <text>
        <t>Loan: Huntington Bank, 3 T880 DC &amp; 1 T680 Slpr (May 2022). Source: Meiborg_Debt_Schedule_202511.xlsx</t>
      </text>
    </comment>
    <comment ref="E333" authorId="0" shapeId="0">
      <text>
        <t>Loan: Huntington Bank, 3 T880 DC &amp; 1 T680 Slpr (May 2022). Source: Meiborg_Debt_Schedule_202511.xlsx</t>
      </text>
    </comment>
    <comment ref="F333" authorId="0" shapeId="0">
      <text>
        <t>Loan: Huntington Bank, 3 T880 DC &amp; 1 T680 Slpr (May 2022). Source: Meiborg_Debt_Schedule_202511.xlsx</t>
      </text>
    </comment>
    <comment ref="C334" authorId="0" shapeId="0">
      <text>
        <t>Loan: Huntington Bank, 3 T880 DC &amp; 1 T680 Slpr (May 2022). Source: Meiborg_Debt_Schedule_202511.xlsx</t>
      </text>
    </comment>
    <comment ref="D334" authorId="0" shapeId="0">
      <text>
        <t>Loan: Huntington Bank, 3 T880 DC &amp; 1 T680 Slpr (May 2022). Source: Meiborg_Debt_Schedule_202511.xlsx</t>
      </text>
    </comment>
    <comment ref="E334" authorId="0" shapeId="0">
      <text>
        <t>Loan: Huntington Bank, 3 T880 DC &amp; 1 T680 Slpr (May 2022). Source: Meiborg_Debt_Schedule_202511.xlsx</t>
      </text>
    </comment>
    <comment ref="F334" authorId="0" shapeId="0">
      <text>
        <t>Loan: Huntington Bank, 3 T880 DC &amp; 1 T680 Slpr (May 2022). Source: Meiborg_Debt_Schedule_202511.xlsx</t>
      </text>
    </comment>
    <comment ref="C335" authorId="0" shapeId="0">
      <text>
        <t>Loan: Huntington Bank, 3 T880 DC &amp; 1 T680 Slpr (May 2022). Source: Meiborg_Debt_Schedule_202511.xlsx</t>
      </text>
    </comment>
    <comment ref="D335" authorId="0" shapeId="0">
      <text>
        <t>Loan: Huntington Bank, 3 T880 DC &amp; 1 T680 Slpr (May 2022). Source: Meiborg_Debt_Schedule_202511.xlsx</t>
      </text>
    </comment>
    <comment ref="E335" authorId="0" shapeId="0">
      <text>
        <t>Loan: Huntington Bank, 3 T880 DC &amp; 1 T680 Slpr (May 2022). Source: Meiborg_Debt_Schedule_202511.xlsx</t>
      </text>
    </comment>
    <comment ref="F335" authorId="0" shapeId="0">
      <text>
        <t>Loan: Huntington Bank, 3 T880 DC &amp; 1 T680 Slpr (May 2022). Source: Meiborg_Debt_Schedule_202511.xlsx</t>
      </text>
    </comment>
    <comment ref="C336" authorId="0" shapeId="0">
      <text>
        <t>Loan: Huntington Bank, 3 T880 DC &amp; 1 T680 Slpr (May 2022). Source: Meiborg_Debt_Schedule_202511.xlsx</t>
      </text>
    </comment>
    <comment ref="D336" authorId="0" shapeId="0">
      <text>
        <t>Loan: Huntington Bank, 3 T880 DC &amp; 1 T680 Slpr (May 2022). Source: Meiborg_Debt_Schedule_202511.xlsx</t>
      </text>
    </comment>
    <comment ref="E336" authorId="0" shapeId="0">
      <text>
        <t>Loan: Huntington Bank, 3 T880 DC &amp; 1 T680 Slpr (May 2022). Source: Meiborg_Debt_Schedule_202511.xlsx</t>
      </text>
    </comment>
    <comment ref="F336" authorId="0" shapeId="0">
      <text>
        <t>Loan: Huntington Bank, 3 T880 DC &amp; 1 T680 Slpr (May 2022). Source: Meiborg_Debt_Schedule_202511.xlsx</t>
      </text>
    </comment>
    <comment ref="C337" authorId="0" shapeId="0">
      <text>
        <t>Loan: Huntington Bank, 3 T880 DC &amp; 1 T680 Slpr (May 2022). Source: Meiborg_Debt_Schedule_202511.xlsx</t>
      </text>
    </comment>
    <comment ref="D337" authorId="0" shapeId="0">
      <text>
        <t>Loan: Huntington Bank, 3 T880 DC &amp; 1 T680 Slpr (May 2022). Source: Meiborg_Debt_Schedule_202511.xlsx</t>
      </text>
    </comment>
    <comment ref="E337" authorId="0" shapeId="0">
      <text>
        <t>Loan: Huntington Bank, 3 T880 DC &amp; 1 T680 Slpr (May 2022). Source: Meiborg_Debt_Schedule_202511.xlsx</t>
      </text>
    </comment>
    <comment ref="F337" authorId="0" shapeId="0">
      <text>
        <t>Loan: Huntington Bank, 3 T880 DC &amp; 1 T680 Slpr (May 2022). Source: Meiborg_Debt_Schedule_202511.xlsx</t>
      </text>
    </comment>
    <comment ref="C338" authorId="0" shapeId="0">
      <text>
        <t>Loan: Huntington Bank, 3 T880 DC &amp; 1 T680 Slpr (May 2022). Source: Meiborg_Debt_Schedule_202511.xlsx</t>
      </text>
    </comment>
    <comment ref="D338" authorId="0" shapeId="0">
      <text>
        <t>Loan: Huntington Bank, 3 T880 DC &amp; 1 T680 Slpr (May 2022). Source: Meiborg_Debt_Schedule_202511.xlsx</t>
      </text>
    </comment>
    <comment ref="E338" authorId="0" shapeId="0">
      <text>
        <t>Loan: Huntington Bank, 3 T880 DC &amp; 1 T680 Slpr (May 2022). Source: Meiborg_Debt_Schedule_202511.xlsx</t>
      </text>
    </comment>
    <comment ref="F338" authorId="0" shapeId="0">
      <text>
        <t>Loan: Huntington Bank, 3 T880 DC &amp; 1 T680 Slpr (May 2022). Source: Meiborg_Debt_Schedule_202511.xlsx</t>
      </text>
    </comment>
    <comment ref="C339" authorId="0" shapeId="0">
      <text>
        <t>Loan: Huntington Bank, 3 T880 DC &amp; 1 T680 Slpr (May 2022). Source: Meiborg_Debt_Schedule_202511.xlsx</t>
      </text>
    </comment>
    <comment ref="D339" authorId="0" shapeId="0">
      <text>
        <t>Loan: Huntington Bank, 3 T880 DC &amp; 1 T680 Slpr (May 2022). Source: Meiborg_Debt_Schedule_202511.xlsx</t>
      </text>
    </comment>
    <comment ref="E339" authorId="0" shapeId="0">
      <text>
        <t>Loan: Huntington Bank, 3 T880 DC &amp; 1 T680 Slpr (May 2022). Source: Meiborg_Debt_Schedule_202511.xlsx</t>
      </text>
    </comment>
    <comment ref="F339" authorId="0" shapeId="0">
      <text>
        <t>Loan: Huntington Bank, 3 T880 DC &amp; 1 T680 Slpr (May 2022). Source: Meiborg_Debt_Schedule_202511.xlsx</t>
      </text>
    </comment>
    <comment ref="C340" authorId="0" shapeId="0">
      <text>
        <t>Loan: Huntington Bank, 3 T880 DC &amp; 1 T680 Slpr (May 2022). Source: Meiborg_Debt_Schedule_202511.xlsx</t>
      </text>
    </comment>
    <comment ref="D340" authorId="0" shapeId="0">
      <text>
        <t>Loan: Huntington Bank, 3 T880 DC &amp; 1 T680 Slpr (May 2022). Source: Meiborg_Debt_Schedule_202511.xlsx</t>
      </text>
    </comment>
    <comment ref="E340" authorId="0" shapeId="0">
      <text>
        <t>Loan: Huntington Bank, 3 T880 DC &amp; 1 T680 Slpr (May 2022). Source: Meiborg_Debt_Schedule_202511.xlsx</t>
      </text>
    </comment>
    <comment ref="F340" authorId="0" shapeId="0">
      <text>
        <t>Loan: Huntington Bank, 3 T880 DC &amp; 1 T680 Slpr (May 2022). Source: Meiborg_Debt_Schedule_202511.xlsx</t>
      </text>
    </comment>
    <comment ref="C341" authorId="0" shapeId="0">
      <text>
        <t>Loan: Huntington Bank, 3 T880 DC &amp; 1 T680 Slpr (May 2022). Source: Meiborg_Debt_Schedule_202511.xlsx</t>
      </text>
    </comment>
    <comment ref="D341" authorId="0" shapeId="0">
      <text>
        <t>Loan: Huntington Bank, 3 T880 DC &amp; 1 T680 Slpr (May 2022). Source: Meiborg_Debt_Schedule_202511.xlsx</t>
      </text>
    </comment>
    <comment ref="E341" authorId="0" shapeId="0">
      <text>
        <t>Loan: Huntington Bank, 3 T880 DC &amp; 1 T680 Slpr (May 2022). Source: Meiborg_Debt_Schedule_202511.xlsx</t>
      </text>
    </comment>
    <comment ref="F341" authorId="0" shapeId="0">
      <text>
        <t>Loan: Huntington Bank, 3 T880 DC &amp; 1 T680 Slpr (May 2022). Source: Meiborg_Debt_Schedule_202511.xlsx</t>
      </text>
    </comment>
    <comment ref="C342" authorId="0" shapeId="0">
      <text>
        <t>Loan: Huntington Bank, 3 T880 DC &amp; 1 T680 Slpr (May 2022). Source: Meiborg_Debt_Schedule_202511.xlsx</t>
      </text>
    </comment>
    <comment ref="D342" authorId="0" shapeId="0">
      <text>
        <t>Loan: Huntington Bank, 3 T880 DC &amp; 1 T680 Slpr (May 2022). Source: Meiborg_Debt_Schedule_202511.xlsx</t>
      </text>
    </comment>
    <comment ref="E342" authorId="0" shapeId="0">
      <text>
        <t>Loan: Huntington Bank, 3 T880 DC &amp; 1 T680 Slpr (May 2022). Source: Meiborg_Debt_Schedule_202511.xlsx</t>
      </text>
    </comment>
    <comment ref="F342" authorId="0" shapeId="0">
      <text>
        <t>Loan: Huntington Bank, 3 T880 DC &amp; 1 T680 Slpr (May 2022). Source: Meiborg_Debt_Schedule_202511.xlsx</t>
      </text>
    </comment>
    <comment ref="C343" authorId="0" shapeId="0">
      <text>
        <t>Loan: Huntington Bank, 3 T880 DC &amp; 1 T680 Slpr (May 2022). Source: Meiborg_Debt_Schedule_202511.xlsx</t>
      </text>
    </comment>
    <comment ref="D343" authorId="0" shapeId="0">
      <text>
        <t>Loan: Huntington Bank, 3 T880 DC &amp; 1 T680 Slpr (May 2022). Source: Meiborg_Debt_Schedule_202511.xlsx</t>
      </text>
    </comment>
    <comment ref="E343" authorId="0" shapeId="0">
      <text>
        <t>Loan: Huntington Bank, 3 T880 DC &amp; 1 T680 Slpr (May 2022). Source: Meiborg_Debt_Schedule_202511.xlsx</t>
      </text>
    </comment>
    <comment ref="F343" authorId="0" shapeId="0">
      <text>
        <t>Loan: Huntington Bank, 3 T880 DC &amp; 1 T680 Slpr (May 2022). Source: Meiborg_Debt_Schedule_202511.xlsx</t>
      </text>
    </comment>
    <comment ref="C344" authorId="0" shapeId="0">
      <text>
        <t>Loan: Huntington Bank, 3 T880 DC &amp; 1 T680 Slpr (May 2022). Source: Meiborg_Debt_Schedule_202511.xlsx</t>
      </text>
    </comment>
    <comment ref="D344" authorId="0" shapeId="0">
      <text>
        <t>Loan: Huntington Bank, 3 T880 DC &amp; 1 T680 Slpr (May 2022). Source: Meiborg_Debt_Schedule_202511.xlsx</t>
      </text>
    </comment>
    <comment ref="E344" authorId="0" shapeId="0">
      <text>
        <t>Loan: Huntington Bank, 3 T880 DC &amp; 1 T680 Slpr (May 2022). Source: Meiborg_Debt_Schedule_202511.xlsx</t>
      </text>
    </comment>
    <comment ref="F344" authorId="0" shapeId="0">
      <text>
        <t>Loan: Huntington Bank, 3 T880 DC &amp; 1 T680 Slpr (May 2022). Source: Meiborg_Debt_Schedule_202511.xlsx</t>
      </text>
    </comment>
    <comment ref="C345" authorId="0" shapeId="0">
      <text>
        <t>Loan: Huntington Bank, 3 T880 DC &amp; 1 T680 Slpr (May 2022). Source: Meiborg_Debt_Schedule_202511.xlsx</t>
      </text>
    </comment>
    <comment ref="D345" authorId="0" shapeId="0">
      <text>
        <t>Loan: Huntington Bank, 3 T880 DC &amp; 1 T680 Slpr (May 2022). Source: Meiborg_Debt_Schedule_202511.xlsx</t>
      </text>
    </comment>
    <comment ref="E345" authorId="0" shapeId="0">
      <text>
        <t>Loan: Huntington Bank, 3 T880 DC &amp; 1 T680 Slpr (May 2022). Source: Meiborg_Debt_Schedule_202511.xlsx</t>
      </text>
    </comment>
    <comment ref="F345" authorId="0" shapeId="0">
      <text>
        <t>Loan: Huntington Bank, 3 T880 DC &amp; 1 T680 Slpr (May 2022). Source: Meiborg_Debt_Schedule_202511.xlsx</t>
      </text>
    </comment>
    <comment ref="C346" authorId="0" shapeId="0">
      <text>
        <t>Loan: Huntington Bank, 3 T880 DC &amp; 1 T680 Slpr (May 2022). Source: Meiborg_Debt_Schedule_202511.xlsx</t>
      </text>
    </comment>
    <comment ref="D346" authorId="0" shapeId="0">
      <text>
        <t>Loan: Huntington Bank, 3 T880 DC &amp; 1 T680 Slpr (May 2022). Source: Meiborg_Debt_Schedule_202511.xlsx</t>
      </text>
    </comment>
    <comment ref="E346" authorId="0" shapeId="0">
      <text>
        <t>Loan: Huntington Bank, 3 T880 DC &amp; 1 T680 Slpr (May 2022). Source: Meiborg_Debt_Schedule_202511.xlsx</t>
      </text>
    </comment>
    <comment ref="F346" authorId="0" shapeId="0">
      <text>
        <t>Loan: Huntington Bank, 3 T880 DC &amp; 1 T680 Slpr (May 2022). Source: Meiborg_Debt_Schedule_202511.xlsx</t>
      </text>
    </comment>
    <comment ref="C347" authorId="0" shapeId="0">
      <text>
        <t>Loan: Huntington Bank, 3 T880 DC &amp; 1 T680 Slpr (May 2022). Source: Meiborg_Debt_Schedule_202511.xlsx</t>
      </text>
    </comment>
    <comment ref="D347" authorId="0" shapeId="0">
      <text>
        <t>Loan: Huntington Bank, 3 T880 DC &amp; 1 T680 Slpr (May 2022). Source: Meiborg_Debt_Schedule_202511.xlsx</t>
      </text>
    </comment>
    <comment ref="E347" authorId="0" shapeId="0">
      <text>
        <t>Loan: Huntington Bank, 3 T880 DC &amp; 1 T680 Slpr (May 2022). Source: Meiborg_Debt_Schedule_202511.xlsx</t>
      </text>
    </comment>
    <comment ref="F347" authorId="0" shapeId="0">
      <text>
        <t>Loan: Huntington Bank, 3 T880 DC &amp; 1 T680 Slpr (May 2022). Source: Meiborg_Debt_Schedule_202511.xlsx</t>
      </text>
    </comment>
    <comment ref="C348" authorId="0" shapeId="0">
      <text>
        <t>Loan: Huntington Bank, 3 T880 DC &amp; 1 T680 Slpr (May 2022). Source: Meiborg_Debt_Schedule_202511.xlsx</t>
      </text>
    </comment>
    <comment ref="D348" authorId="0" shapeId="0">
      <text>
        <t>Loan: Huntington Bank, 3 T880 DC &amp; 1 T680 Slpr (May 2022). Source: Meiborg_Debt_Schedule_202511.xlsx</t>
      </text>
    </comment>
    <comment ref="E348" authorId="0" shapeId="0">
      <text>
        <t>Loan: Huntington Bank, 3 T880 DC &amp; 1 T680 Slpr (May 2022). Source: Meiborg_Debt_Schedule_202511.xlsx</t>
      </text>
    </comment>
    <comment ref="F348" authorId="0" shapeId="0">
      <text>
        <t>Loan: Huntington Bank, 3 T880 DC &amp; 1 T680 Slpr (May 2022). Source: Meiborg_Debt_Schedule_202511.xlsx</t>
      </text>
    </comment>
    <comment ref="C349" authorId="0" shapeId="0">
      <text>
        <t>Loan: Huntington Bank, 3 T880 DC &amp; 1 T680 Slpr (May 2022). Source: Meiborg_Debt_Schedule_202511.xlsx</t>
      </text>
    </comment>
    <comment ref="D349" authorId="0" shapeId="0">
      <text>
        <t>Loan: Huntington Bank, 3 T880 DC &amp; 1 T680 Slpr (May 2022). Source: Meiborg_Debt_Schedule_202511.xlsx</t>
      </text>
    </comment>
    <comment ref="E349" authorId="0" shapeId="0">
      <text>
        <t>Loan: Huntington Bank, 3 T880 DC &amp; 1 T680 Slpr (May 2022). Source: Meiborg_Debt_Schedule_202511.xlsx</t>
      </text>
    </comment>
    <comment ref="F349" authorId="0" shapeId="0">
      <text>
        <t>Loan: Huntington Bank, 3 T880 DC &amp; 1 T680 Slpr (May 2022). Source: Meiborg_Debt_Schedule_202511.xlsx</t>
      </text>
    </comment>
    <comment ref="C350" authorId="0" shapeId="0">
      <text>
        <t>Loan: Huntington Bank, 3 T880 DC &amp; 1 T680 Slpr (May 2022). Source: Meiborg_Debt_Schedule_202511.xlsx</t>
      </text>
    </comment>
    <comment ref="D350" authorId="0" shapeId="0">
      <text>
        <t>Loan: Huntington Bank, 3 T880 DC &amp; 1 T680 Slpr (May 2022). Source: Meiborg_Debt_Schedule_202511.xlsx</t>
      </text>
    </comment>
    <comment ref="E350" authorId="0" shapeId="0">
      <text>
        <t>Loan: Huntington Bank, 3 T880 DC &amp; 1 T680 Slpr (May 2022). Source: Meiborg_Debt_Schedule_202511.xlsx</t>
      </text>
    </comment>
    <comment ref="F350" authorId="0" shapeId="0">
      <text>
        <t>Loan: Huntington Bank, 3 T880 DC &amp; 1 T680 Slpr (May 2022). Source: Meiborg_Debt_Schedule_202511.xlsx</t>
      </text>
    </comment>
    <comment ref="C351" authorId="0" shapeId="0">
      <text>
        <t>Loan: Huntington Bank, 3 T880 DC &amp; 1 T680 Slpr (May 2022). Source: Meiborg_Debt_Schedule_202511.xlsx</t>
      </text>
    </comment>
    <comment ref="D351" authorId="0" shapeId="0">
      <text>
        <t>Loan: Huntington Bank, 3 T880 DC &amp; 1 T680 Slpr (May 2022). Source: Meiborg_Debt_Schedule_202511.xlsx</t>
      </text>
    </comment>
    <comment ref="E351" authorId="0" shapeId="0">
      <text>
        <t>Loan: Huntington Bank, 3 T880 DC &amp; 1 T680 Slpr (May 2022). Source: Meiborg_Debt_Schedule_202511.xlsx</t>
      </text>
    </comment>
    <comment ref="F351" authorId="0" shapeId="0">
      <text>
        <t>Loan: Huntington Bank, 3 T880 DC &amp; 1 T680 Slpr (May 2022). Source: Meiborg_Debt_Schedule_202511.xlsx</t>
      </text>
    </comment>
    <comment ref="C352" authorId="0" shapeId="0">
      <text>
        <t>Loan: Huntington Bank, 3 T880 DC &amp; 1 T680 Slpr (May 2022). Source: Meiborg_Debt_Schedule_202511.xlsx</t>
      </text>
    </comment>
    <comment ref="D352" authorId="0" shapeId="0">
      <text>
        <t>Loan: Huntington Bank, 3 T880 DC &amp; 1 T680 Slpr (May 2022). Source: Meiborg_Debt_Schedule_202511.xlsx</t>
      </text>
    </comment>
    <comment ref="E352" authorId="0" shapeId="0">
      <text>
        <t>Loan: Huntington Bank, 3 T880 DC &amp; 1 T680 Slpr (May 2022). Source: Meiborg_Debt_Schedule_202511.xlsx</t>
      </text>
    </comment>
    <comment ref="F352" authorId="0" shapeId="0">
      <text>
        <t>Loan: Huntington Bank, 3 T880 DC &amp; 1 T680 Slpr (May 2022). Source: Meiborg_Debt_Schedule_202511.xlsx</t>
      </text>
    </comment>
    <comment ref="C353" authorId="0" shapeId="0">
      <text>
        <t>Loan: Huntington Bank, 3 T880 DC &amp; 1 T680 Slpr (May 2022). Source: Meiborg_Debt_Schedule_202511.xlsx</t>
      </text>
    </comment>
    <comment ref="D353" authorId="0" shapeId="0">
      <text>
        <t>Loan: Huntington Bank, 3 T880 DC &amp; 1 T680 Slpr (May 2022). Source: Meiborg_Debt_Schedule_202511.xlsx</t>
      </text>
    </comment>
    <comment ref="E353" authorId="0" shapeId="0">
      <text>
        <t>Loan: Huntington Bank, 3 T880 DC &amp; 1 T680 Slpr (May 2022). Source: Meiborg_Debt_Schedule_202511.xlsx</t>
      </text>
    </comment>
    <comment ref="F353" authorId="0" shapeId="0">
      <text>
        <t>Loan: Huntington Bank, 3 T880 DC &amp; 1 T680 Slpr (May 2022). Source: Meiborg_Debt_Schedule_202511.xlsx</t>
      </text>
    </comment>
    <comment ref="C354" authorId="0" shapeId="0">
      <text>
        <t>Loan: Huntington Bank, 3 T880 DC &amp; 1 T680 Slpr (May 2022). Source: Meiborg_Debt_Schedule_202511.xlsx</t>
      </text>
    </comment>
    <comment ref="D354" authorId="0" shapeId="0">
      <text>
        <t>Loan: Huntington Bank, 3 T880 DC &amp; 1 T680 Slpr (May 2022). Source: Meiborg_Debt_Schedule_202511.xlsx</t>
      </text>
    </comment>
    <comment ref="E354" authorId="0" shapeId="0">
      <text>
        <t>Loan: Huntington Bank, 3 T880 DC &amp; 1 T680 Slpr (May 2022). Source: Meiborg_Debt_Schedule_202511.xlsx</t>
      </text>
    </comment>
    <comment ref="F354" authorId="0" shapeId="0">
      <text>
        <t>Loan: Huntington Bank, 3 T880 DC &amp; 1 T680 Slpr (May 2022). Source: Meiborg_Debt_Schedule_202511.xlsx</t>
      </text>
    </comment>
    <comment ref="C355" authorId="0" shapeId="0">
      <text>
        <t>Loan: Huntington Bank, 3 T880 DC &amp; 1 T680 Slpr (May 2022). Source: Meiborg_Debt_Schedule_202511.xlsx</t>
      </text>
    </comment>
    <comment ref="D355" authorId="0" shapeId="0">
      <text>
        <t>Loan: Huntington Bank, 3 T880 DC &amp; 1 T680 Slpr (May 2022). Source: Meiborg_Debt_Schedule_202511.xlsx</t>
      </text>
    </comment>
    <comment ref="E355" authorId="0" shapeId="0">
      <text>
        <t>Loan: Huntington Bank, 3 T880 DC &amp; 1 T680 Slpr (May 2022). Source: Meiborg_Debt_Schedule_202511.xlsx</t>
      </text>
    </comment>
    <comment ref="F355" authorId="0" shapeId="0">
      <text>
        <t>Loan: Huntington Bank, 3 T880 DC &amp; 1 T680 Slpr (May 2022). Source: Meiborg_Debt_Schedule_202511.xlsx</t>
      </text>
    </comment>
    <comment ref="C356" authorId="0" shapeId="0">
      <text>
        <t>Loan: Huntington Bank, 3 T880 DC &amp; 1 T680 Slpr (May 2022). Source: Meiborg_Debt_Schedule_202511.xlsx</t>
      </text>
    </comment>
    <comment ref="D356" authorId="0" shapeId="0">
      <text>
        <t>Loan: Huntington Bank, 3 T880 DC &amp; 1 T680 Slpr (May 2022). Source: Meiborg_Debt_Schedule_202511.xlsx</t>
      </text>
    </comment>
    <comment ref="E356" authorId="0" shapeId="0">
      <text>
        <t>Loan: Huntington Bank, 3 T880 DC &amp; 1 T680 Slpr (May 2022). Source: Meiborg_Debt_Schedule_202511.xlsx</t>
      </text>
    </comment>
    <comment ref="F356" authorId="0" shapeId="0">
      <text>
        <t>Loan: Huntington Bank, 3 T880 DC &amp; 1 T680 Slpr (May 2022). Source: Meiborg_Debt_Schedule_202511.xlsx</t>
      </text>
    </comment>
    <comment ref="C357" authorId="0" shapeId="0">
      <text>
        <t>Loan: Huntington Bank, 3 T880 DC &amp; 1 T680 Slpr (May 2022). Source: Meiborg_Debt_Schedule_202511.xlsx</t>
      </text>
    </comment>
    <comment ref="D357" authorId="0" shapeId="0">
      <text>
        <t>Loan: Huntington Bank, 3 T880 DC &amp; 1 T680 Slpr (May 2022). Source: Meiborg_Debt_Schedule_202511.xlsx</t>
      </text>
    </comment>
    <comment ref="E357" authorId="0" shapeId="0">
      <text>
        <t>Loan: Huntington Bank, 3 T880 DC &amp; 1 T680 Slpr (May 2022). Source: Meiborg_Debt_Schedule_202511.xlsx</t>
      </text>
    </comment>
    <comment ref="F357" authorId="0" shapeId="0">
      <text>
        <t>Loan: Huntington Bank, 3 T880 DC &amp; 1 T680 Slpr (May 2022). Source: Meiborg_Debt_Schedule_202511.xlsx</t>
      </text>
    </comment>
    <comment ref="C358" authorId="0" shapeId="0">
      <text>
        <t>Loan: Huntington Bank, 3 T880 DC &amp; 1 T680 Slpr (May 2022). Source: Meiborg_Debt_Schedule_202511.xlsx</t>
      </text>
    </comment>
    <comment ref="D358" authorId="0" shapeId="0">
      <text>
        <t>Loan: Huntington Bank, 3 T880 DC &amp; 1 T680 Slpr (May 2022). Source: Meiborg_Debt_Schedule_202511.xlsx</t>
      </text>
    </comment>
    <comment ref="E358" authorId="0" shapeId="0">
      <text>
        <t>Loan: Huntington Bank, 3 T880 DC &amp; 1 T680 Slpr (May 2022). Source: Meiborg_Debt_Schedule_202511.xlsx</t>
      </text>
    </comment>
    <comment ref="F358" authorId="0" shapeId="0">
      <text>
        <t>Loan: Huntington Bank, 3 T880 DC &amp; 1 T680 Slpr (May 2022). Source: Meiborg_Debt_Schedule_202511.xlsx</t>
      </text>
    </comment>
    <comment ref="C359" authorId="0" shapeId="0">
      <text>
        <t>Loan: Huntington Bank, 3 T880 DC &amp; 1 T680 Slpr (May 2022). Source: Meiborg_Debt_Schedule_202511.xlsx</t>
      </text>
    </comment>
    <comment ref="D359" authorId="0" shapeId="0">
      <text>
        <t>Loan: Huntington Bank, 3 T880 DC &amp; 1 T680 Slpr (May 2022). Source: Meiborg_Debt_Schedule_202511.xlsx</t>
      </text>
    </comment>
    <comment ref="E359" authorId="0" shapeId="0">
      <text>
        <t>Loan: Huntington Bank, 3 T880 DC &amp; 1 T680 Slpr (May 2022). Source: Meiborg_Debt_Schedule_202511.xlsx</t>
      </text>
    </comment>
    <comment ref="F359" authorId="0" shapeId="0">
      <text>
        <t>Loan: Huntington Bank, 3 T880 DC &amp; 1 T680 Slpr (May 2022). Source: Meiborg_Debt_Schedule_202511.xlsx</t>
      </text>
    </comment>
    <comment ref="D360" authorId="0" shapeId="0">
      <text>
        <t>Sum of rows 294-359: Total interest over loan term</t>
      </text>
    </comment>
    <comment ref="E360" authorId="0" shapeId="0">
      <text>
        <t>Sum of rows 294-359: Total principal over loan term</t>
      </text>
    </comment>
    <comment ref="B364" authorId="0" shapeId="0">
      <text>
        <t>Source: data/loans.md - Huntington Loan 5
Extracted: 2026-05-19</t>
      </text>
    </comment>
    <comment ref="B365" authorId="0" shapeId="0">
      <text>
        <t>Source: data/loans.md - Account number
Extracted: 2026-05-19</t>
      </text>
    </comment>
    <comment ref="B366" authorId="0" shapeId="0">
      <text>
        <t>Source: data/loans.md - Original loan amount at origination
Loan: Huntington Bank, 2 T880 DC (June 2022). Source: Meiborg_Debt_Schedule_202511.xlsx</t>
      </text>
    </comment>
    <comment ref="B367" authorId="0" shapeId="0">
      <text>
        <t>Source: data/loans.md - Interest rate 3.97%
Loan: Huntington Bank, 2 T880 DC (June 2022). Source: Meiborg_Debt_Schedule_202511.xlsx</t>
      </text>
    </comment>
    <comment ref="B368" authorId="0" shapeId="0">
      <text>
        <t>Driver: Calculated from origination 2022-06-01 to maturity 2027-12-01</t>
      </text>
    </comment>
    <comment ref="B369" authorId="0" shapeId="0">
      <text>
        <t>Source: data/loans.md - Monthly P&amp;I payment
Loan: Huntington Bank, 2 T880 DC (June 2022). Source: Meiborg_Debt_Schedule_202511.xlsx</t>
      </text>
    </comment>
    <comment ref="B370" authorId="0" shapeId="0">
      <text>
        <t>Loan type classification: Standard P&amp;I payments</t>
      </text>
    </comment>
    <comment ref="B371" authorId="0" shapeId="0">
      <text>
        <t>Source: data/loans.md - Equipment purpose</t>
      </text>
    </comment>
    <comment ref="B372" authorId="0" shapeId="0">
      <text>
        <t>Source: data/loans.md - Loan maturity date</t>
      </text>
    </comment>
    <comment ref="C378" authorId="0" shapeId="0">
      <text>
        <t>Loan: Huntington Bank, 2 T880 DC (June 2022). Source: Meiborg_Debt_Schedule_202511.xlsx</t>
      </text>
    </comment>
    <comment ref="D378" authorId="0" shapeId="0">
      <text>
        <t>Loan: Huntington Bank, 2 T880 DC (June 2022). Source: Meiborg_Debt_Schedule_202511.xlsx</t>
      </text>
    </comment>
    <comment ref="E378" authorId="0" shapeId="0">
      <text>
        <t>Loan: Huntington Bank, 2 T880 DC (June 2022). Source: Meiborg_Debt_Schedule_202511.xlsx</t>
      </text>
    </comment>
    <comment ref="F378" authorId="0" shapeId="0">
      <text>
        <t>Loan: Huntington Bank, 2 T880 DC (June 2022). Source: Meiborg_Debt_Schedule_202511.xlsx</t>
      </text>
    </comment>
    <comment ref="C379" authorId="0" shapeId="0">
      <text>
        <t>Loan: Huntington Bank, 2 T880 DC (June 2022). Source: Meiborg_Debt_Schedule_202511.xlsx</t>
      </text>
    </comment>
    <comment ref="D379" authorId="0" shapeId="0">
      <text>
        <t>Loan: Huntington Bank, 2 T880 DC (June 2022). Source: Meiborg_Debt_Schedule_202511.xlsx</t>
      </text>
    </comment>
    <comment ref="E379" authorId="0" shapeId="0">
      <text>
        <t>Loan: Huntington Bank, 2 T880 DC (June 2022). Source: Meiborg_Debt_Schedule_202511.xlsx</t>
      </text>
    </comment>
    <comment ref="F379" authorId="0" shapeId="0">
      <text>
        <t>Loan: Huntington Bank, 2 T880 DC (June 2022). Source: Meiborg_Debt_Schedule_202511.xlsx</t>
      </text>
    </comment>
    <comment ref="C380" authorId="0" shapeId="0">
      <text>
        <t>Loan: Huntington Bank, 2 T880 DC (June 2022). Source: Meiborg_Debt_Schedule_202511.xlsx</t>
      </text>
    </comment>
    <comment ref="D380" authorId="0" shapeId="0">
      <text>
        <t>Loan: Huntington Bank, 2 T880 DC (June 2022). Source: Meiborg_Debt_Schedule_202511.xlsx</t>
      </text>
    </comment>
    <comment ref="E380" authorId="0" shapeId="0">
      <text>
        <t>Loan: Huntington Bank, 2 T880 DC (June 2022). Source: Meiborg_Debt_Schedule_202511.xlsx</t>
      </text>
    </comment>
    <comment ref="F380" authorId="0" shapeId="0">
      <text>
        <t>Loan: Huntington Bank, 2 T880 DC (June 2022). Source: Meiborg_Debt_Schedule_202511.xlsx</t>
      </text>
    </comment>
    <comment ref="C381" authorId="0" shapeId="0">
      <text>
        <t>Loan: Huntington Bank, 2 T880 DC (June 2022). Source: Meiborg_Debt_Schedule_202511.xlsx</t>
      </text>
    </comment>
    <comment ref="D381" authorId="0" shapeId="0">
      <text>
        <t>Loan: Huntington Bank, 2 T880 DC (June 2022). Source: Meiborg_Debt_Schedule_202511.xlsx</t>
      </text>
    </comment>
    <comment ref="E381" authorId="0" shapeId="0">
      <text>
        <t>Loan: Huntington Bank, 2 T880 DC (June 2022). Source: Meiborg_Debt_Schedule_202511.xlsx</t>
      </text>
    </comment>
    <comment ref="F381" authorId="0" shapeId="0">
      <text>
        <t>Loan: Huntington Bank, 2 T880 DC (June 2022). Source: Meiborg_Debt_Schedule_202511.xlsx</t>
      </text>
    </comment>
    <comment ref="C382" authorId="0" shapeId="0">
      <text>
        <t>Loan: Huntington Bank, 2 T880 DC (June 2022). Source: Meiborg_Debt_Schedule_202511.xlsx</t>
      </text>
    </comment>
    <comment ref="D382" authorId="0" shapeId="0">
      <text>
        <t>Loan: Huntington Bank, 2 T880 DC (June 2022). Source: Meiborg_Debt_Schedule_202511.xlsx</t>
      </text>
    </comment>
    <comment ref="E382" authorId="0" shapeId="0">
      <text>
        <t>Loan: Huntington Bank, 2 T880 DC (June 2022). Source: Meiborg_Debt_Schedule_202511.xlsx</t>
      </text>
    </comment>
    <comment ref="F382" authorId="0" shapeId="0">
      <text>
        <t>Loan: Huntington Bank, 2 T880 DC (June 2022). Source: Meiborg_Debt_Schedule_202511.xlsx</t>
      </text>
    </comment>
    <comment ref="C383" authorId="0" shapeId="0">
      <text>
        <t>Loan: Huntington Bank, 2 T880 DC (June 2022). Source: Meiborg_Debt_Schedule_202511.xlsx</t>
      </text>
    </comment>
    <comment ref="D383" authorId="0" shapeId="0">
      <text>
        <t>Loan: Huntington Bank, 2 T880 DC (June 2022). Source: Meiborg_Debt_Schedule_202511.xlsx</t>
      </text>
    </comment>
    <comment ref="E383" authorId="0" shapeId="0">
      <text>
        <t>Loan: Huntington Bank, 2 T880 DC (June 2022). Source: Meiborg_Debt_Schedule_202511.xlsx</t>
      </text>
    </comment>
    <comment ref="F383" authorId="0" shapeId="0">
      <text>
        <t>Loan: Huntington Bank, 2 T880 DC (June 2022). Source: Meiborg_Debt_Schedule_202511.xlsx</t>
      </text>
    </comment>
    <comment ref="C384" authorId="0" shapeId="0">
      <text>
        <t>Loan: Huntington Bank, 2 T880 DC (June 2022). Source: Meiborg_Debt_Schedule_202511.xlsx</t>
      </text>
    </comment>
    <comment ref="D384" authorId="0" shapeId="0">
      <text>
        <t>Loan: Huntington Bank, 2 T880 DC (June 2022). Source: Meiborg_Debt_Schedule_202511.xlsx</t>
      </text>
    </comment>
    <comment ref="E384" authorId="0" shapeId="0">
      <text>
        <t>Loan: Huntington Bank, 2 T880 DC (June 2022). Source: Meiborg_Debt_Schedule_202511.xlsx</t>
      </text>
    </comment>
    <comment ref="F384" authorId="0" shapeId="0">
      <text>
        <t>Loan: Huntington Bank, 2 T880 DC (June 2022). Source: Meiborg_Debt_Schedule_202511.xlsx</t>
      </text>
    </comment>
    <comment ref="C385" authorId="0" shapeId="0">
      <text>
        <t>Loan: Huntington Bank, 2 T880 DC (June 2022). Source: Meiborg_Debt_Schedule_202511.xlsx</t>
      </text>
    </comment>
    <comment ref="D385" authorId="0" shapeId="0">
      <text>
        <t>Loan: Huntington Bank, 2 T880 DC (June 2022). Source: Meiborg_Debt_Schedule_202511.xlsx</t>
      </text>
    </comment>
    <comment ref="E385" authorId="0" shapeId="0">
      <text>
        <t>Loan: Huntington Bank, 2 T880 DC (June 2022). Source: Meiborg_Debt_Schedule_202511.xlsx</t>
      </text>
    </comment>
    <comment ref="F385" authorId="0" shapeId="0">
      <text>
        <t>Loan: Huntington Bank, 2 T880 DC (June 2022). Source: Meiborg_Debt_Schedule_202511.xlsx</t>
      </text>
    </comment>
    <comment ref="C386" authorId="0" shapeId="0">
      <text>
        <t>Loan: Huntington Bank, 2 T880 DC (June 2022). Source: Meiborg_Debt_Schedule_202511.xlsx</t>
      </text>
    </comment>
    <comment ref="D386" authorId="0" shapeId="0">
      <text>
        <t>Loan: Huntington Bank, 2 T880 DC (June 2022). Source: Meiborg_Debt_Schedule_202511.xlsx</t>
      </text>
    </comment>
    <comment ref="E386" authorId="0" shapeId="0">
      <text>
        <t>Loan: Huntington Bank, 2 T880 DC (June 2022). Source: Meiborg_Debt_Schedule_202511.xlsx</t>
      </text>
    </comment>
    <comment ref="F386" authorId="0" shapeId="0">
      <text>
        <t>Loan: Huntington Bank, 2 T880 DC (June 2022). Source: Meiborg_Debt_Schedule_202511.xlsx</t>
      </text>
    </comment>
    <comment ref="C387" authorId="0" shapeId="0">
      <text>
        <t>Loan: Huntington Bank, 2 T880 DC (June 2022). Source: Meiborg_Debt_Schedule_202511.xlsx</t>
      </text>
    </comment>
    <comment ref="D387" authorId="0" shapeId="0">
      <text>
        <t>Loan: Huntington Bank, 2 T880 DC (June 2022). Source: Meiborg_Debt_Schedule_202511.xlsx</t>
      </text>
    </comment>
    <comment ref="E387" authorId="0" shapeId="0">
      <text>
        <t>Loan: Huntington Bank, 2 T880 DC (June 2022). Source: Meiborg_Debt_Schedule_202511.xlsx</t>
      </text>
    </comment>
    <comment ref="F387" authorId="0" shapeId="0">
      <text>
        <t>Loan: Huntington Bank, 2 T880 DC (June 2022). Source: Meiborg_Debt_Schedule_202511.xlsx</t>
      </text>
    </comment>
    <comment ref="C388" authorId="0" shapeId="0">
      <text>
        <t>Loan: Huntington Bank, 2 T880 DC (June 2022). Source: Meiborg_Debt_Schedule_202511.xlsx</t>
      </text>
    </comment>
    <comment ref="D388" authorId="0" shapeId="0">
      <text>
        <t>Loan: Huntington Bank, 2 T880 DC (June 2022). Source: Meiborg_Debt_Schedule_202511.xlsx</t>
      </text>
    </comment>
    <comment ref="E388" authorId="0" shapeId="0">
      <text>
        <t>Loan: Huntington Bank, 2 T880 DC (June 2022). Source: Meiborg_Debt_Schedule_202511.xlsx</t>
      </text>
    </comment>
    <comment ref="F388" authorId="0" shapeId="0">
      <text>
        <t>Loan: Huntington Bank, 2 T880 DC (June 2022). Source: Meiborg_Debt_Schedule_202511.xlsx</t>
      </text>
    </comment>
    <comment ref="C389" authorId="0" shapeId="0">
      <text>
        <t>Loan: Huntington Bank, 2 T880 DC (June 2022). Source: Meiborg_Debt_Schedule_202511.xlsx</t>
      </text>
    </comment>
    <comment ref="D389" authorId="0" shapeId="0">
      <text>
        <t>Loan: Huntington Bank, 2 T880 DC (June 2022). Source: Meiborg_Debt_Schedule_202511.xlsx</t>
      </text>
    </comment>
    <comment ref="E389" authorId="0" shapeId="0">
      <text>
        <t>Loan: Huntington Bank, 2 T880 DC (June 2022). Source: Meiborg_Debt_Schedule_202511.xlsx</t>
      </text>
    </comment>
    <comment ref="F389" authorId="0" shapeId="0">
      <text>
        <t>Loan: Huntington Bank, 2 T880 DC (June 2022). Source: Meiborg_Debt_Schedule_202511.xlsx</t>
      </text>
    </comment>
    <comment ref="C390" authorId="0" shapeId="0">
      <text>
        <t>Loan: Huntington Bank, 2 T880 DC (June 2022). Source: Meiborg_Debt_Schedule_202511.xlsx</t>
      </text>
    </comment>
    <comment ref="D390" authorId="0" shapeId="0">
      <text>
        <t>Loan: Huntington Bank, 2 T880 DC (June 2022). Source: Meiborg_Debt_Schedule_202511.xlsx</t>
      </text>
    </comment>
    <comment ref="E390" authorId="0" shapeId="0">
      <text>
        <t>Loan: Huntington Bank, 2 T880 DC (June 2022). Source: Meiborg_Debt_Schedule_202511.xlsx</t>
      </text>
    </comment>
    <comment ref="F390" authorId="0" shapeId="0">
      <text>
        <t>Loan: Huntington Bank, 2 T880 DC (June 2022). Source: Meiborg_Debt_Schedule_202511.xlsx</t>
      </text>
    </comment>
    <comment ref="C391" authorId="0" shapeId="0">
      <text>
        <t>Loan: Huntington Bank, 2 T880 DC (June 2022). Source: Meiborg_Debt_Schedule_202511.xlsx</t>
      </text>
    </comment>
    <comment ref="D391" authorId="0" shapeId="0">
      <text>
        <t>Loan: Huntington Bank, 2 T880 DC (June 2022). Source: Meiborg_Debt_Schedule_202511.xlsx</t>
      </text>
    </comment>
    <comment ref="E391" authorId="0" shapeId="0">
      <text>
        <t>Loan: Huntington Bank, 2 T880 DC (June 2022). Source: Meiborg_Debt_Schedule_202511.xlsx</t>
      </text>
    </comment>
    <comment ref="F391" authorId="0" shapeId="0">
      <text>
        <t>Loan: Huntington Bank, 2 T880 DC (June 2022). Source: Meiborg_Debt_Schedule_202511.xlsx</t>
      </text>
    </comment>
    <comment ref="C392" authorId="0" shapeId="0">
      <text>
        <t>Loan: Huntington Bank, 2 T880 DC (June 2022). Source: Meiborg_Debt_Schedule_202511.xlsx</t>
      </text>
    </comment>
    <comment ref="D392" authorId="0" shapeId="0">
      <text>
        <t>Loan: Huntington Bank, 2 T880 DC (June 2022). Source: Meiborg_Debt_Schedule_202511.xlsx</t>
      </text>
    </comment>
    <comment ref="E392" authorId="0" shapeId="0">
      <text>
        <t>Loan: Huntington Bank, 2 T880 DC (June 2022). Source: Meiborg_Debt_Schedule_202511.xlsx</t>
      </text>
    </comment>
    <comment ref="F392" authorId="0" shapeId="0">
      <text>
        <t>Loan: Huntington Bank, 2 T880 DC (June 2022). Source: Meiborg_Debt_Schedule_202511.xlsx</t>
      </text>
    </comment>
    <comment ref="C393" authorId="0" shapeId="0">
      <text>
        <t>Loan: Huntington Bank, 2 T880 DC (June 2022). Source: Meiborg_Debt_Schedule_202511.xlsx</t>
      </text>
    </comment>
    <comment ref="D393" authorId="0" shapeId="0">
      <text>
        <t>Loan: Huntington Bank, 2 T880 DC (June 2022). Source: Meiborg_Debt_Schedule_202511.xlsx</t>
      </text>
    </comment>
    <comment ref="E393" authorId="0" shapeId="0">
      <text>
        <t>Loan: Huntington Bank, 2 T880 DC (June 2022). Source: Meiborg_Debt_Schedule_202511.xlsx</t>
      </text>
    </comment>
    <comment ref="F393" authorId="0" shapeId="0">
      <text>
        <t>Loan: Huntington Bank, 2 T880 DC (June 2022). Source: Meiborg_Debt_Schedule_202511.xlsx</t>
      </text>
    </comment>
    <comment ref="C394" authorId="0" shapeId="0">
      <text>
        <t>Loan: Huntington Bank, 2 T880 DC (June 2022). Source: Meiborg_Debt_Schedule_202511.xlsx</t>
      </text>
    </comment>
    <comment ref="D394" authorId="0" shapeId="0">
      <text>
        <t>Loan: Huntington Bank, 2 T880 DC (June 2022). Source: Meiborg_Debt_Schedule_202511.xlsx</t>
      </text>
    </comment>
    <comment ref="E394" authorId="0" shapeId="0">
      <text>
        <t>Loan: Huntington Bank, 2 T880 DC (June 2022). Source: Meiborg_Debt_Schedule_202511.xlsx</t>
      </text>
    </comment>
    <comment ref="F394" authorId="0" shapeId="0">
      <text>
        <t>Loan: Huntington Bank, 2 T880 DC (June 2022). Source: Meiborg_Debt_Schedule_202511.xlsx</t>
      </text>
    </comment>
    <comment ref="C395" authorId="0" shapeId="0">
      <text>
        <t>Loan: Huntington Bank, 2 T880 DC (June 2022). Source: Meiborg_Debt_Schedule_202511.xlsx</t>
      </text>
    </comment>
    <comment ref="D395" authorId="0" shapeId="0">
      <text>
        <t>Loan: Huntington Bank, 2 T880 DC (June 2022). Source: Meiborg_Debt_Schedule_202511.xlsx</t>
      </text>
    </comment>
    <comment ref="E395" authorId="0" shapeId="0">
      <text>
        <t>Loan: Huntington Bank, 2 T880 DC (June 2022). Source: Meiborg_Debt_Schedule_202511.xlsx</t>
      </text>
    </comment>
    <comment ref="F395" authorId="0" shapeId="0">
      <text>
        <t>Loan: Huntington Bank, 2 T880 DC (June 2022). Source: Meiborg_Debt_Schedule_202511.xlsx</t>
      </text>
    </comment>
    <comment ref="C396" authorId="0" shapeId="0">
      <text>
        <t>Loan: Huntington Bank, 2 T880 DC (June 2022). Source: Meiborg_Debt_Schedule_202511.xlsx</t>
      </text>
    </comment>
    <comment ref="D396" authorId="0" shapeId="0">
      <text>
        <t>Loan: Huntington Bank, 2 T880 DC (June 2022). Source: Meiborg_Debt_Schedule_202511.xlsx</t>
      </text>
    </comment>
    <comment ref="E396" authorId="0" shapeId="0">
      <text>
        <t>Loan: Huntington Bank, 2 T880 DC (June 2022). Source: Meiborg_Debt_Schedule_202511.xlsx</t>
      </text>
    </comment>
    <comment ref="F396" authorId="0" shapeId="0">
      <text>
        <t>Loan: Huntington Bank, 2 T880 DC (June 2022). Source: Meiborg_Debt_Schedule_202511.xlsx</t>
      </text>
    </comment>
    <comment ref="C397" authorId="0" shapeId="0">
      <text>
        <t>Loan: Huntington Bank, 2 T880 DC (June 2022). Source: Meiborg_Debt_Schedule_202511.xlsx</t>
      </text>
    </comment>
    <comment ref="D397" authorId="0" shapeId="0">
      <text>
        <t>Loan: Huntington Bank, 2 T880 DC (June 2022). Source: Meiborg_Debt_Schedule_202511.xlsx</t>
      </text>
    </comment>
    <comment ref="E397" authorId="0" shapeId="0">
      <text>
        <t>Loan: Huntington Bank, 2 T880 DC (June 2022). Source: Meiborg_Debt_Schedule_202511.xlsx</t>
      </text>
    </comment>
    <comment ref="F397" authorId="0" shapeId="0">
      <text>
        <t>Loan: Huntington Bank, 2 T880 DC (June 2022). Source: Meiborg_Debt_Schedule_202511.xlsx</t>
      </text>
    </comment>
    <comment ref="C398" authorId="0" shapeId="0">
      <text>
        <t>Loan: Huntington Bank, 2 T880 DC (June 2022). Source: Meiborg_Debt_Schedule_202511.xlsx</t>
      </text>
    </comment>
    <comment ref="D398" authorId="0" shapeId="0">
      <text>
        <t>Loan: Huntington Bank, 2 T880 DC (June 2022). Source: Meiborg_Debt_Schedule_202511.xlsx</t>
      </text>
    </comment>
    <comment ref="E398" authorId="0" shapeId="0">
      <text>
        <t>Loan: Huntington Bank, 2 T880 DC (June 2022). Source: Meiborg_Debt_Schedule_202511.xlsx</t>
      </text>
    </comment>
    <comment ref="F398" authorId="0" shapeId="0">
      <text>
        <t>Loan: Huntington Bank, 2 T880 DC (June 2022). Source: Meiborg_Debt_Schedule_202511.xlsx</t>
      </text>
    </comment>
    <comment ref="C399" authorId="0" shapeId="0">
      <text>
        <t>Loan: Huntington Bank, 2 T880 DC (June 2022). Source: Meiborg_Debt_Schedule_202511.xlsx</t>
      </text>
    </comment>
    <comment ref="D399" authorId="0" shapeId="0">
      <text>
        <t>Loan: Huntington Bank, 2 T880 DC (June 2022). Source: Meiborg_Debt_Schedule_202511.xlsx</t>
      </text>
    </comment>
    <comment ref="E399" authorId="0" shapeId="0">
      <text>
        <t>Loan: Huntington Bank, 2 T880 DC (June 2022). Source: Meiborg_Debt_Schedule_202511.xlsx</t>
      </text>
    </comment>
    <comment ref="F399" authorId="0" shapeId="0">
      <text>
        <t>Loan: Huntington Bank, 2 T880 DC (June 2022). Source: Meiborg_Debt_Schedule_202511.xlsx</t>
      </text>
    </comment>
    <comment ref="C400" authorId="0" shapeId="0">
      <text>
        <t>Loan: Huntington Bank, 2 T880 DC (June 2022). Source: Meiborg_Debt_Schedule_202511.xlsx</t>
      </text>
    </comment>
    <comment ref="D400" authorId="0" shapeId="0">
      <text>
        <t>Loan: Huntington Bank, 2 T880 DC (June 2022). Source: Meiborg_Debt_Schedule_202511.xlsx</t>
      </text>
    </comment>
    <comment ref="E400" authorId="0" shapeId="0">
      <text>
        <t>Loan: Huntington Bank, 2 T880 DC (June 2022). Source: Meiborg_Debt_Schedule_202511.xlsx</t>
      </text>
    </comment>
    <comment ref="F400" authorId="0" shapeId="0">
      <text>
        <t>Loan: Huntington Bank, 2 T880 DC (June 2022). Source: Meiborg_Debt_Schedule_202511.xlsx</t>
      </text>
    </comment>
    <comment ref="C401" authorId="0" shapeId="0">
      <text>
        <t>Loan: Huntington Bank, 2 T880 DC (June 2022). Source: Meiborg_Debt_Schedule_202511.xlsx</t>
      </text>
    </comment>
    <comment ref="D401" authorId="0" shapeId="0">
      <text>
        <t>Loan: Huntington Bank, 2 T880 DC (June 2022). Source: Meiborg_Debt_Schedule_202511.xlsx</t>
      </text>
    </comment>
    <comment ref="E401" authorId="0" shapeId="0">
      <text>
        <t>Loan: Huntington Bank, 2 T880 DC (June 2022). Source: Meiborg_Debt_Schedule_202511.xlsx</t>
      </text>
    </comment>
    <comment ref="F401" authorId="0" shapeId="0">
      <text>
        <t>Loan: Huntington Bank, 2 T880 DC (June 2022). Source: Meiborg_Debt_Schedule_202511.xlsx</t>
      </text>
    </comment>
    <comment ref="C402" authorId="0" shapeId="0">
      <text>
        <t>Loan: Huntington Bank, 2 T880 DC (June 2022). Source: Meiborg_Debt_Schedule_202511.xlsx</t>
      </text>
    </comment>
    <comment ref="D402" authorId="0" shapeId="0">
      <text>
        <t>Loan: Huntington Bank, 2 T880 DC (June 2022). Source: Meiborg_Debt_Schedule_202511.xlsx</t>
      </text>
    </comment>
    <comment ref="E402" authorId="0" shapeId="0">
      <text>
        <t>Loan: Huntington Bank, 2 T880 DC (June 2022). Source: Meiborg_Debt_Schedule_202511.xlsx</t>
      </text>
    </comment>
    <comment ref="F402" authorId="0" shapeId="0">
      <text>
        <t>Loan: Huntington Bank, 2 T880 DC (June 2022). Source: Meiborg_Debt_Schedule_202511.xlsx</t>
      </text>
    </comment>
    <comment ref="C403" authorId="0" shapeId="0">
      <text>
        <t>Loan: Huntington Bank, 2 T880 DC (June 2022). Source: Meiborg_Debt_Schedule_202511.xlsx</t>
      </text>
    </comment>
    <comment ref="D403" authorId="0" shapeId="0">
      <text>
        <t>Loan: Huntington Bank, 2 T880 DC (June 2022). Source: Meiborg_Debt_Schedule_202511.xlsx</t>
      </text>
    </comment>
    <comment ref="E403" authorId="0" shapeId="0">
      <text>
        <t>Loan: Huntington Bank, 2 T880 DC (June 2022). Source: Meiborg_Debt_Schedule_202511.xlsx</t>
      </text>
    </comment>
    <comment ref="F403" authorId="0" shapeId="0">
      <text>
        <t>Loan: Huntington Bank, 2 T880 DC (June 2022). Source: Meiborg_Debt_Schedule_202511.xlsx</t>
      </text>
    </comment>
    <comment ref="C404" authorId="0" shapeId="0">
      <text>
        <t>Loan: Huntington Bank, 2 T880 DC (June 2022). Source: Meiborg_Debt_Schedule_202511.xlsx</t>
      </text>
    </comment>
    <comment ref="D404" authorId="0" shapeId="0">
      <text>
        <t>Loan: Huntington Bank, 2 T880 DC (June 2022). Source: Meiborg_Debt_Schedule_202511.xlsx</t>
      </text>
    </comment>
    <comment ref="E404" authorId="0" shapeId="0">
      <text>
        <t>Loan: Huntington Bank, 2 T880 DC (June 2022). Source: Meiborg_Debt_Schedule_202511.xlsx</t>
      </text>
    </comment>
    <comment ref="F404" authorId="0" shapeId="0">
      <text>
        <t>Loan: Huntington Bank, 2 T880 DC (June 2022). Source: Meiborg_Debt_Schedule_202511.xlsx</t>
      </text>
    </comment>
    <comment ref="C405" authorId="0" shapeId="0">
      <text>
        <t>Loan: Huntington Bank, 2 T880 DC (June 2022). Source: Meiborg_Debt_Schedule_202511.xlsx</t>
      </text>
    </comment>
    <comment ref="D405" authorId="0" shapeId="0">
      <text>
        <t>Loan: Huntington Bank, 2 T880 DC (June 2022). Source: Meiborg_Debt_Schedule_202511.xlsx</t>
      </text>
    </comment>
    <comment ref="E405" authorId="0" shapeId="0">
      <text>
        <t>Loan: Huntington Bank, 2 T880 DC (June 2022). Source: Meiborg_Debt_Schedule_202511.xlsx</t>
      </text>
    </comment>
    <comment ref="F405" authorId="0" shapeId="0">
      <text>
        <t>Loan: Huntington Bank, 2 T880 DC (June 2022). Source: Meiborg_Debt_Schedule_202511.xlsx</t>
      </text>
    </comment>
    <comment ref="C406" authorId="0" shapeId="0">
      <text>
        <t>Loan: Huntington Bank, 2 T880 DC (June 2022). Source: Meiborg_Debt_Schedule_202511.xlsx</t>
      </text>
    </comment>
    <comment ref="D406" authorId="0" shapeId="0">
      <text>
        <t>Loan: Huntington Bank, 2 T880 DC (June 2022). Source: Meiborg_Debt_Schedule_202511.xlsx</t>
      </text>
    </comment>
    <comment ref="E406" authorId="0" shapeId="0">
      <text>
        <t>Loan: Huntington Bank, 2 T880 DC (June 2022). Source: Meiborg_Debt_Schedule_202511.xlsx</t>
      </text>
    </comment>
    <comment ref="F406" authorId="0" shapeId="0">
      <text>
        <t>Loan: Huntington Bank, 2 T880 DC (June 2022). Source: Meiborg_Debt_Schedule_202511.xlsx</t>
      </text>
    </comment>
    <comment ref="C407" authorId="0" shapeId="0">
      <text>
        <t>Loan: Huntington Bank, 2 T880 DC (June 2022). Source: Meiborg_Debt_Schedule_202511.xlsx</t>
      </text>
    </comment>
    <comment ref="D407" authorId="0" shapeId="0">
      <text>
        <t>Loan: Huntington Bank, 2 T880 DC (June 2022). Source: Meiborg_Debt_Schedule_202511.xlsx</t>
      </text>
    </comment>
    <comment ref="E407" authorId="0" shapeId="0">
      <text>
        <t>Loan: Huntington Bank, 2 T880 DC (June 2022). Source: Meiborg_Debt_Schedule_202511.xlsx</t>
      </text>
    </comment>
    <comment ref="F407" authorId="0" shapeId="0">
      <text>
        <t>Loan: Huntington Bank, 2 T880 DC (June 2022). Source: Meiborg_Debt_Schedule_202511.xlsx</t>
      </text>
    </comment>
    <comment ref="C408" authorId="0" shapeId="0">
      <text>
        <t>Loan: Huntington Bank, 2 T880 DC (June 2022). Source: Meiborg_Debt_Schedule_202511.xlsx</t>
      </text>
    </comment>
    <comment ref="D408" authorId="0" shapeId="0">
      <text>
        <t>Loan: Huntington Bank, 2 T880 DC (June 2022). Source: Meiborg_Debt_Schedule_202511.xlsx</t>
      </text>
    </comment>
    <comment ref="E408" authorId="0" shapeId="0">
      <text>
        <t>Loan: Huntington Bank, 2 T880 DC (June 2022). Source: Meiborg_Debt_Schedule_202511.xlsx</t>
      </text>
    </comment>
    <comment ref="F408" authorId="0" shapeId="0">
      <text>
        <t>Loan: Huntington Bank, 2 T880 DC (June 2022). Source: Meiborg_Debt_Schedule_202511.xlsx</t>
      </text>
    </comment>
    <comment ref="C409" authorId="0" shapeId="0">
      <text>
        <t>Loan: Huntington Bank, 2 T880 DC (June 2022). Source: Meiborg_Debt_Schedule_202511.xlsx</t>
      </text>
    </comment>
    <comment ref="D409" authorId="0" shapeId="0">
      <text>
        <t>Loan: Huntington Bank, 2 T880 DC (June 2022). Source: Meiborg_Debt_Schedule_202511.xlsx</t>
      </text>
    </comment>
    <comment ref="E409" authorId="0" shapeId="0">
      <text>
        <t>Loan: Huntington Bank, 2 T880 DC (June 2022). Source: Meiborg_Debt_Schedule_202511.xlsx</t>
      </text>
    </comment>
    <comment ref="F409" authorId="0" shapeId="0">
      <text>
        <t>Loan: Huntington Bank, 2 T880 DC (June 2022). Source: Meiborg_Debt_Schedule_202511.xlsx</t>
      </text>
    </comment>
    <comment ref="C410" authorId="0" shapeId="0">
      <text>
        <t>Loan: Huntington Bank, 2 T880 DC (June 2022). Source: Meiborg_Debt_Schedule_202511.xlsx</t>
      </text>
    </comment>
    <comment ref="D410" authorId="0" shapeId="0">
      <text>
        <t>Loan: Huntington Bank, 2 T880 DC (June 2022). Source: Meiborg_Debt_Schedule_202511.xlsx</t>
      </text>
    </comment>
    <comment ref="E410" authorId="0" shapeId="0">
      <text>
        <t>Loan: Huntington Bank, 2 T880 DC (June 2022). Source: Meiborg_Debt_Schedule_202511.xlsx</t>
      </text>
    </comment>
    <comment ref="F410" authorId="0" shapeId="0">
      <text>
        <t>Loan: Huntington Bank, 2 T880 DC (June 2022). Source: Meiborg_Debt_Schedule_202511.xlsx</t>
      </text>
    </comment>
    <comment ref="C411" authorId="0" shapeId="0">
      <text>
        <t>Loan: Huntington Bank, 2 T880 DC (June 2022). Source: Meiborg_Debt_Schedule_202511.xlsx</t>
      </text>
    </comment>
    <comment ref="D411" authorId="0" shapeId="0">
      <text>
        <t>Loan: Huntington Bank, 2 T880 DC (June 2022). Source: Meiborg_Debt_Schedule_202511.xlsx</t>
      </text>
    </comment>
    <comment ref="E411" authorId="0" shapeId="0">
      <text>
        <t>Loan: Huntington Bank, 2 T880 DC (June 2022). Source: Meiborg_Debt_Schedule_202511.xlsx</t>
      </text>
    </comment>
    <comment ref="F411" authorId="0" shapeId="0">
      <text>
        <t>Loan: Huntington Bank, 2 T880 DC (June 2022). Source: Meiborg_Debt_Schedule_202511.xlsx</t>
      </text>
    </comment>
    <comment ref="C412" authorId="0" shapeId="0">
      <text>
        <t>Loan: Huntington Bank, 2 T880 DC (June 2022). Source: Meiborg_Debt_Schedule_202511.xlsx</t>
      </text>
    </comment>
    <comment ref="D412" authorId="0" shapeId="0">
      <text>
        <t>Loan: Huntington Bank, 2 T880 DC (June 2022). Source: Meiborg_Debt_Schedule_202511.xlsx</t>
      </text>
    </comment>
    <comment ref="E412" authorId="0" shapeId="0">
      <text>
        <t>Loan: Huntington Bank, 2 T880 DC (June 2022). Source: Meiborg_Debt_Schedule_202511.xlsx</t>
      </text>
    </comment>
    <comment ref="F412" authorId="0" shapeId="0">
      <text>
        <t>Loan: Huntington Bank, 2 T880 DC (June 2022). Source: Meiborg_Debt_Schedule_202511.xlsx</t>
      </text>
    </comment>
    <comment ref="C413" authorId="0" shapeId="0">
      <text>
        <t>Loan: Huntington Bank, 2 T880 DC (June 2022). Source: Meiborg_Debt_Schedule_202511.xlsx</t>
      </text>
    </comment>
    <comment ref="D413" authorId="0" shapeId="0">
      <text>
        <t>Loan: Huntington Bank, 2 T880 DC (June 2022). Source: Meiborg_Debt_Schedule_202511.xlsx</t>
      </text>
    </comment>
    <comment ref="E413" authorId="0" shapeId="0">
      <text>
        <t>Loan: Huntington Bank, 2 T880 DC (June 2022). Source: Meiborg_Debt_Schedule_202511.xlsx</t>
      </text>
    </comment>
    <comment ref="F413" authorId="0" shapeId="0">
      <text>
        <t>Loan: Huntington Bank, 2 T880 DC (June 2022). Source: Meiborg_Debt_Schedule_202511.xlsx</t>
      </text>
    </comment>
    <comment ref="C414" authorId="0" shapeId="0">
      <text>
        <t>Loan: Huntington Bank, 2 T880 DC (June 2022). Source: Meiborg_Debt_Schedule_202511.xlsx</t>
      </text>
    </comment>
    <comment ref="D414" authorId="0" shapeId="0">
      <text>
        <t>Loan: Huntington Bank, 2 T880 DC (June 2022). Source: Meiborg_Debt_Schedule_202511.xlsx</t>
      </text>
    </comment>
    <comment ref="E414" authorId="0" shapeId="0">
      <text>
        <t>Loan: Huntington Bank, 2 T880 DC (June 2022). Source: Meiborg_Debt_Schedule_202511.xlsx</t>
      </text>
    </comment>
    <comment ref="F414" authorId="0" shapeId="0">
      <text>
        <t>Loan: Huntington Bank, 2 T880 DC (June 2022). Source: Meiborg_Debt_Schedule_202511.xlsx</t>
      </text>
    </comment>
    <comment ref="C415" authorId="0" shapeId="0">
      <text>
        <t>Loan: Huntington Bank, 2 T880 DC (June 2022). Source: Meiborg_Debt_Schedule_202511.xlsx</t>
      </text>
    </comment>
    <comment ref="D415" authorId="0" shapeId="0">
      <text>
        <t>Loan: Huntington Bank, 2 T880 DC (June 2022). Source: Meiborg_Debt_Schedule_202511.xlsx</t>
      </text>
    </comment>
    <comment ref="E415" authorId="0" shapeId="0">
      <text>
        <t>Loan: Huntington Bank, 2 T880 DC (June 2022). Source: Meiborg_Debt_Schedule_202511.xlsx</t>
      </text>
    </comment>
    <comment ref="F415" authorId="0" shapeId="0">
      <text>
        <t>Loan: Huntington Bank, 2 T880 DC (June 2022). Source: Meiborg_Debt_Schedule_202511.xlsx</t>
      </text>
    </comment>
    <comment ref="C416" authorId="0" shapeId="0">
      <text>
        <t>Loan: Huntington Bank, 2 T880 DC (June 2022). Source: Meiborg_Debt_Schedule_202511.xlsx</t>
      </text>
    </comment>
    <comment ref="D416" authorId="0" shapeId="0">
      <text>
        <t>Loan: Huntington Bank, 2 T880 DC (June 2022). Source: Meiborg_Debt_Schedule_202511.xlsx</t>
      </text>
    </comment>
    <comment ref="E416" authorId="0" shapeId="0">
      <text>
        <t>Loan: Huntington Bank, 2 T880 DC (June 2022). Source: Meiborg_Debt_Schedule_202511.xlsx</t>
      </text>
    </comment>
    <comment ref="F416" authorId="0" shapeId="0">
      <text>
        <t>Loan: Huntington Bank, 2 T880 DC (June 2022). Source: Meiborg_Debt_Schedule_202511.xlsx</t>
      </text>
    </comment>
    <comment ref="C417" authorId="0" shapeId="0">
      <text>
        <t>Loan: Huntington Bank, 2 T880 DC (June 2022). Source: Meiborg_Debt_Schedule_202511.xlsx</t>
      </text>
    </comment>
    <comment ref="D417" authorId="0" shapeId="0">
      <text>
        <t>Loan: Huntington Bank, 2 T880 DC (June 2022). Source: Meiborg_Debt_Schedule_202511.xlsx</t>
      </text>
    </comment>
    <comment ref="E417" authorId="0" shapeId="0">
      <text>
        <t>Loan: Huntington Bank, 2 T880 DC (June 2022). Source: Meiborg_Debt_Schedule_202511.xlsx</t>
      </text>
    </comment>
    <comment ref="F417" authorId="0" shapeId="0">
      <text>
        <t>Loan: Huntington Bank, 2 T880 DC (June 2022). Source: Meiborg_Debt_Schedule_202511.xlsx</t>
      </text>
    </comment>
    <comment ref="C418" authorId="0" shapeId="0">
      <text>
        <t>Loan: Huntington Bank, 2 T880 DC (June 2022). Source: Meiborg_Debt_Schedule_202511.xlsx</t>
      </text>
    </comment>
    <comment ref="D418" authorId="0" shapeId="0">
      <text>
        <t>Loan: Huntington Bank, 2 T880 DC (June 2022). Source: Meiborg_Debt_Schedule_202511.xlsx</t>
      </text>
    </comment>
    <comment ref="E418" authorId="0" shapeId="0">
      <text>
        <t>Loan: Huntington Bank, 2 T880 DC (June 2022). Source: Meiborg_Debt_Schedule_202511.xlsx</t>
      </text>
    </comment>
    <comment ref="F418" authorId="0" shapeId="0">
      <text>
        <t>Loan: Huntington Bank, 2 T880 DC (June 2022). Source: Meiborg_Debt_Schedule_202511.xlsx</t>
      </text>
    </comment>
    <comment ref="C419" authorId="0" shapeId="0">
      <text>
        <t>Loan: Huntington Bank, 2 T880 DC (June 2022). Source: Meiborg_Debt_Schedule_202511.xlsx</t>
      </text>
    </comment>
    <comment ref="D419" authorId="0" shapeId="0">
      <text>
        <t>Loan: Huntington Bank, 2 T880 DC (June 2022). Source: Meiborg_Debt_Schedule_202511.xlsx</t>
      </text>
    </comment>
    <comment ref="E419" authorId="0" shapeId="0">
      <text>
        <t>Loan: Huntington Bank, 2 T880 DC (June 2022). Source: Meiborg_Debt_Schedule_202511.xlsx</t>
      </text>
    </comment>
    <comment ref="F419" authorId="0" shapeId="0">
      <text>
        <t>Loan: Huntington Bank, 2 T880 DC (June 2022). Source: Meiborg_Debt_Schedule_202511.xlsx</t>
      </text>
    </comment>
    <comment ref="C420" authorId="0" shapeId="0">
      <text>
        <t>Loan: Huntington Bank, 2 T880 DC (June 2022). Source: Meiborg_Debt_Schedule_202511.xlsx</t>
      </text>
    </comment>
    <comment ref="D420" authorId="0" shapeId="0">
      <text>
        <t>Loan: Huntington Bank, 2 T880 DC (June 2022). Source: Meiborg_Debt_Schedule_202511.xlsx</t>
      </text>
    </comment>
    <comment ref="E420" authorId="0" shapeId="0">
      <text>
        <t>Loan: Huntington Bank, 2 T880 DC (June 2022). Source: Meiborg_Debt_Schedule_202511.xlsx</t>
      </text>
    </comment>
    <comment ref="F420" authorId="0" shapeId="0">
      <text>
        <t>Loan: Huntington Bank, 2 T880 DC (June 2022). Source: Meiborg_Debt_Schedule_202511.xlsx</t>
      </text>
    </comment>
    <comment ref="C421" authorId="0" shapeId="0">
      <text>
        <t>Loan: Huntington Bank, 2 T880 DC (June 2022). Source: Meiborg_Debt_Schedule_202511.xlsx</t>
      </text>
    </comment>
    <comment ref="D421" authorId="0" shapeId="0">
      <text>
        <t>Loan: Huntington Bank, 2 T880 DC (June 2022). Source: Meiborg_Debt_Schedule_202511.xlsx</t>
      </text>
    </comment>
    <comment ref="E421" authorId="0" shapeId="0">
      <text>
        <t>Loan: Huntington Bank, 2 T880 DC (June 2022). Source: Meiborg_Debt_Schedule_202511.xlsx</t>
      </text>
    </comment>
    <comment ref="F421" authorId="0" shapeId="0">
      <text>
        <t>Loan: Huntington Bank, 2 T880 DC (June 2022). Source: Meiborg_Debt_Schedule_202511.xlsx</t>
      </text>
    </comment>
    <comment ref="C422" authorId="0" shapeId="0">
      <text>
        <t>Loan: Huntington Bank, 2 T880 DC (June 2022). Source: Meiborg_Debt_Schedule_202511.xlsx</t>
      </text>
    </comment>
    <comment ref="D422" authorId="0" shapeId="0">
      <text>
        <t>Loan: Huntington Bank, 2 T880 DC (June 2022). Source: Meiborg_Debt_Schedule_202511.xlsx</t>
      </text>
    </comment>
    <comment ref="E422" authorId="0" shapeId="0">
      <text>
        <t>Loan: Huntington Bank, 2 T880 DC (June 2022). Source: Meiborg_Debt_Schedule_202511.xlsx</t>
      </text>
    </comment>
    <comment ref="F422" authorId="0" shapeId="0">
      <text>
        <t>Loan: Huntington Bank, 2 T880 DC (June 2022). Source: Meiborg_Debt_Schedule_202511.xlsx</t>
      </text>
    </comment>
    <comment ref="C423" authorId="0" shapeId="0">
      <text>
        <t>Loan: Huntington Bank, 2 T880 DC (June 2022). Source: Meiborg_Debt_Schedule_202511.xlsx</t>
      </text>
    </comment>
    <comment ref="D423" authorId="0" shapeId="0">
      <text>
        <t>Loan: Huntington Bank, 2 T880 DC (June 2022). Source: Meiborg_Debt_Schedule_202511.xlsx</t>
      </text>
    </comment>
    <comment ref="E423" authorId="0" shapeId="0">
      <text>
        <t>Loan: Huntington Bank, 2 T880 DC (June 2022). Source: Meiborg_Debt_Schedule_202511.xlsx</t>
      </text>
    </comment>
    <comment ref="F423" authorId="0" shapeId="0">
      <text>
        <t>Loan: Huntington Bank, 2 T880 DC (June 2022). Source: Meiborg_Debt_Schedule_202511.xlsx</t>
      </text>
    </comment>
    <comment ref="C424" authorId="0" shapeId="0">
      <text>
        <t>Loan: Huntington Bank, 2 T880 DC (June 2022). Source: Meiborg_Debt_Schedule_202511.xlsx</t>
      </text>
    </comment>
    <comment ref="D424" authorId="0" shapeId="0">
      <text>
        <t>Loan: Huntington Bank, 2 T880 DC (June 2022). Source: Meiborg_Debt_Schedule_202511.xlsx</t>
      </text>
    </comment>
    <comment ref="E424" authorId="0" shapeId="0">
      <text>
        <t>Loan: Huntington Bank, 2 T880 DC (June 2022). Source: Meiborg_Debt_Schedule_202511.xlsx</t>
      </text>
    </comment>
    <comment ref="F424" authorId="0" shapeId="0">
      <text>
        <t>Loan: Huntington Bank, 2 T880 DC (June 2022). Source: Meiborg_Debt_Schedule_202511.xlsx</t>
      </text>
    </comment>
    <comment ref="C425" authorId="0" shapeId="0">
      <text>
        <t>Loan: Huntington Bank, 2 T880 DC (June 2022). Source: Meiborg_Debt_Schedule_202511.xlsx</t>
      </text>
    </comment>
    <comment ref="D425" authorId="0" shapeId="0">
      <text>
        <t>Loan: Huntington Bank, 2 T880 DC (June 2022). Source: Meiborg_Debt_Schedule_202511.xlsx</t>
      </text>
    </comment>
    <comment ref="E425" authorId="0" shapeId="0">
      <text>
        <t>Loan: Huntington Bank, 2 T880 DC (June 2022). Source: Meiborg_Debt_Schedule_202511.xlsx</t>
      </text>
    </comment>
    <comment ref="F425" authorId="0" shapeId="0">
      <text>
        <t>Loan: Huntington Bank, 2 T880 DC (June 2022). Source: Meiborg_Debt_Schedule_202511.xlsx</t>
      </text>
    </comment>
    <comment ref="C426" authorId="0" shapeId="0">
      <text>
        <t>Loan: Huntington Bank, 2 T880 DC (June 2022). Source: Meiborg_Debt_Schedule_202511.xlsx</t>
      </text>
    </comment>
    <comment ref="D426" authorId="0" shapeId="0">
      <text>
        <t>Loan: Huntington Bank, 2 T880 DC (June 2022). Source: Meiborg_Debt_Schedule_202511.xlsx</t>
      </text>
    </comment>
    <comment ref="E426" authorId="0" shapeId="0">
      <text>
        <t>Loan: Huntington Bank, 2 T880 DC (June 2022). Source: Meiborg_Debt_Schedule_202511.xlsx</t>
      </text>
    </comment>
    <comment ref="F426" authorId="0" shapeId="0">
      <text>
        <t>Loan: Huntington Bank, 2 T880 DC (June 2022). Source: Meiborg_Debt_Schedule_202511.xlsx</t>
      </text>
    </comment>
    <comment ref="C427" authorId="0" shapeId="0">
      <text>
        <t>Loan: Huntington Bank, 2 T880 DC (June 2022). Source: Meiborg_Debt_Schedule_202511.xlsx</t>
      </text>
    </comment>
    <comment ref="D427" authorId="0" shapeId="0">
      <text>
        <t>Loan: Huntington Bank, 2 T880 DC (June 2022). Source: Meiborg_Debt_Schedule_202511.xlsx</t>
      </text>
    </comment>
    <comment ref="E427" authorId="0" shapeId="0">
      <text>
        <t>Loan: Huntington Bank, 2 T880 DC (June 2022). Source: Meiborg_Debt_Schedule_202511.xlsx</t>
      </text>
    </comment>
    <comment ref="F427" authorId="0" shapeId="0">
      <text>
        <t>Loan: Huntington Bank, 2 T880 DC (June 2022). Source: Meiborg_Debt_Schedule_202511.xlsx</t>
      </text>
    </comment>
    <comment ref="C428" authorId="0" shapeId="0">
      <text>
        <t>Loan: Huntington Bank, 2 T880 DC (June 2022). Source: Meiborg_Debt_Schedule_202511.xlsx</t>
      </text>
    </comment>
    <comment ref="D428" authorId="0" shapeId="0">
      <text>
        <t>Loan: Huntington Bank, 2 T880 DC (June 2022). Source: Meiborg_Debt_Schedule_202511.xlsx</t>
      </text>
    </comment>
    <comment ref="E428" authorId="0" shapeId="0">
      <text>
        <t>Loan: Huntington Bank, 2 T880 DC (June 2022). Source: Meiborg_Debt_Schedule_202511.xlsx</t>
      </text>
    </comment>
    <comment ref="F428" authorId="0" shapeId="0">
      <text>
        <t>Loan: Huntington Bank, 2 T880 DC (June 2022). Source: Meiborg_Debt_Schedule_202511.xlsx</t>
      </text>
    </comment>
    <comment ref="C429" authorId="0" shapeId="0">
      <text>
        <t>Loan: Huntington Bank, 2 T880 DC (June 2022). Source: Meiborg_Debt_Schedule_202511.xlsx</t>
      </text>
    </comment>
    <comment ref="D429" authorId="0" shapeId="0">
      <text>
        <t>Loan: Huntington Bank, 2 T880 DC (June 2022). Source: Meiborg_Debt_Schedule_202511.xlsx</t>
      </text>
    </comment>
    <comment ref="E429" authorId="0" shapeId="0">
      <text>
        <t>Loan: Huntington Bank, 2 T880 DC (June 2022). Source: Meiborg_Debt_Schedule_202511.xlsx</t>
      </text>
    </comment>
    <comment ref="F429" authorId="0" shapeId="0">
      <text>
        <t>Loan: Huntington Bank, 2 T880 DC (June 2022). Source: Meiborg_Debt_Schedule_202511.xlsx</t>
      </text>
    </comment>
    <comment ref="C430" authorId="0" shapeId="0">
      <text>
        <t>Loan: Huntington Bank, 2 T880 DC (June 2022). Source: Meiborg_Debt_Schedule_202511.xlsx</t>
      </text>
    </comment>
    <comment ref="D430" authorId="0" shapeId="0">
      <text>
        <t>Loan: Huntington Bank, 2 T880 DC (June 2022). Source: Meiborg_Debt_Schedule_202511.xlsx</t>
      </text>
    </comment>
    <comment ref="E430" authorId="0" shapeId="0">
      <text>
        <t>Loan: Huntington Bank, 2 T880 DC (June 2022). Source: Meiborg_Debt_Schedule_202511.xlsx</t>
      </text>
    </comment>
    <comment ref="F430" authorId="0" shapeId="0">
      <text>
        <t>Loan: Huntington Bank, 2 T880 DC (June 2022). Source: Meiborg_Debt_Schedule_202511.xlsx</t>
      </text>
    </comment>
    <comment ref="C431" authorId="0" shapeId="0">
      <text>
        <t>Loan: Huntington Bank, 2 T880 DC (June 2022). Source: Meiborg_Debt_Schedule_202511.xlsx</t>
      </text>
    </comment>
    <comment ref="D431" authorId="0" shapeId="0">
      <text>
        <t>Loan: Huntington Bank, 2 T880 DC (June 2022). Source: Meiborg_Debt_Schedule_202511.xlsx</t>
      </text>
    </comment>
    <comment ref="E431" authorId="0" shapeId="0">
      <text>
        <t>Loan: Huntington Bank, 2 T880 DC (June 2022). Source: Meiborg_Debt_Schedule_202511.xlsx</t>
      </text>
    </comment>
    <comment ref="F431" authorId="0" shapeId="0">
      <text>
        <t>Loan: Huntington Bank, 2 T880 DC (June 2022). Source: Meiborg_Debt_Schedule_202511.xlsx</t>
      </text>
    </comment>
    <comment ref="C432" authorId="0" shapeId="0">
      <text>
        <t>Loan: Huntington Bank, 2 T880 DC (June 2022). Source: Meiborg_Debt_Schedule_202511.xlsx</t>
      </text>
    </comment>
    <comment ref="D432" authorId="0" shapeId="0">
      <text>
        <t>Loan: Huntington Bank, 2 T880 DC (June 2022). Source: Meiborg_Debt_Schedule_202511.xlsx</t>
      </text>
    </comment>
    <comment ref="E432" authorId="0" shapeId="0">
      <text>
        <t>Loan: Huntington Bank, 2 T880 DC (June 2022). Source: Meiborg_Debt_Schedule_202511.xlsx</t>
      </text>
    </comment>
    <comment ref="F432" authorId="0" shapeId="0">
      <text>
        <t>Loan: Huntington Bank, 2 T880 DC (June 2022). Source: Meiborg_Debt_Schedule_202511.xlsx</t>
      </text>
    </comment>
    <comment ref="C433" authorId="0" shapeId="0">
      <text>
        <t>Loan: Huntington Bank, 2 T880 DC (June 2022). Source: Meiborg_Debt_Schedule_202511.xlsx</t>
      </text>
    </comment>
    <comment ref="D433" authorId="0" shapeId="0">
      <text>
        <t>Loan: Huntington Bank, 2 T880 DC (June 2022). Source: Meiborg_Debt_Schedule_202511.xlsx</t>
      </text>
    </comment>
    <comment ref="E433" authorId="0" shapeId="0">
      <text>
        <t>Loan: Huntington Bank, 2 T880 DC (June 2022). Source: Meiborg_Debt_Schedule_202511.xlsx</t>
      </text>
    </comment>
    <comment ref="F433" authorId="0" shapeId="0">
      <text>
        <t>Loan: Huntington Bank, 2 T880 DC (June 2022). Source: Meiborg_Debt_Schedule_202511.xlsx</t>
      </text>
    </comment>
    <comment ref="C434" authorId="0" shapeId="0">
      <text>
        <t>Loan: Huntington Bank, 2 T880 DC (June 2022). Source: Meiborg_Debt_Schedule_202511.xlsx</t>
      </text>
    </comment>
    <comment ref="D434" authorId="0" shapeId="0">
      <text>
        <t>Loan: Huntington Bank, 2 T880 DC (June 2022). Source: Meiborg_Debt_Schedule_202511.xlsx</t>
      </text>
    </comment>
    <comment ref="E434" authorId="0" shapeId="0">
      <text>
        <t>Loan: Huntington Bank, 2 T880 DC (June 2022). Source: Meiborg_Debt_Schedule_202511.xlsx</t>
      </text>
    </comment>
    <comment ref="F434" authorId="0" shapeId="0">
      <text>
        <t>Loan: Huntington Bank, 2 T880 DC (June 2022). Source: Meiborg_Debt_Schedule_202511.xlsx</t>
      </text>
    </comment>
    <comment ref="C435" authorId="0" shapeId="0">
      <text>
        <t>Loan: Huntington Bank, 2 T880 DC (June 2022). Source: Meiborg_Debt_Schedule_202511.xlsx</t>
      </text>
    </comment>
    <comment ref="D435" authorId="0" shapeId="0">
      <text>
        <t>Loan: Huntington Bank, 2 T880 DC (June 2022). Source: Meiborg_Debt_Schedule_202511.xlsx</t>
      </text>
    </comment>
    <comment ref="E435" authorId="0" shapeId="0">
      <text>
        <t>Loan: Huntington Bank, 2 T880 DC (June 2022). Source: Meiborg_Debt_Schedule_202511.xlsx</t>
      </text>
    </comment>
    <comment ref="F435" authorId="0" shapeId="0">
      <text>
        <t>Loan: Huntington Bank, 2 T880 DC (June 2022). Source: Meiborg_Debt_Schedule_202511.xlsx</t>
      </text>
    </comment>
    <comment ref="C436" authorId="0" shapeId="0">
      <text>
        <t>Loan: Huntington Bank, 2 T880 DC (June 2022). Source: Meiborg_Debt_Schedule_202511.xlsx</t>
      </text>
    </comment>
    <comment ref="D436" authorId="0" shapeId="0">
      <text>
        <t>Loan: Huntington Bank, 2 T880 DC (June 2022). Source: Meiborg_Debt_Schedule_202511.xlsx</t>
      </text>
    </comment>
    <comment ref="E436" authorId="0" shapeId="0">
      <text>
        <t>Loan: Huntington Bank, 2 T880 DC (June 2022). Source: Meiborg_Debt_Schedule_202511.xlsx</t>
      </text>
    </comment>
    <comment ref="F436" authorId="0" shapeId="0">
      <text>
        <t>Loan: Huntington Bank, 2 T880 DC (June 2022). Source: Meiborg_Debt_Schedule_202511.xlsx</t>
      </text>
    </comment>
    <comment ref="C437" authorId="0" shapeId="0">
      <text>
        <t>Loan: Huntington Bank, 2 T880 DC (June 2022). Source: Meiborg_Debt_Schedule_202511.xlsx</t>
      </text>
    </comment>
    <comment ref="D437" authorId="0" shapeId="0">
      <text>
        <t>Loan: Huntington Bank, 2 T880 DC (June 2022). Source: Meiborg_Debt_Schedule_202511.xlsx</t>
      </text>
    </comment>
    <comment ref="E437" authorId="0" shapeId="0">
      <text>
        <t>Loan: Huntington Bank, 2 T880 DC (June 2022). Source: Meiborg_Debt_Schedule_202511.xlsx</t>
      </text>
    </comment>
    <comment ref="F437" authorId="0" shapeId="0">
      <text>
        <t>Loan: Huntington Bank, 2 T880 DC (June 2022). Source: Meiborg_Debt_Schedule_202511.xlsx</t>
      </text>
    </comment>
    <comment ref="C438" authorId="0" shapeId="0">
      <text>
        <t>Loan: Huntington Bank, 2 T880 DC (June 2022). Source: Meiborg_Debt_Schedule_202511.xlsx</t>
      </text>
    </comment>
    <comment ref="D438" authorId="0" shapeId="0">
      <text>
        <t>Loan: Huntington Bank, 2 T880 DC (June 2022). Source: Meiborg_Debt_Schedule_202511.xlsx</t>
      </text>
    </comment>
    <comment ref="E438" authorId="0" shapeId="0">
      <text>
        <t>Loan: Huntington Bank, 2 T880 DC (June 2022). Source: Meiborg_Debt_Schedule_202511.xlsx</t>
      </text>
    </comment>
    <comment ref="F438" authorId="0" shapeId="0">
      <text>
        <t>Loan: Huntington Bank, 2 T880 DC (June 2022). Source: Meiborg_Debt_Schedule_202511.xlsx</t>
      </text>
    </comment>
    <comment ref="C439" authorId="0" shapeId="0">
      <text>
        <t>Loan: Huntington Bank, 2 T880 DC (June 2022). Source: Meiborg_Debt_Schedule_202511.xlsx</t>
      </text>
    </comment>
    <comment ref="D439" authorId="0" shapeId="0">
      <text>
        <t>Loan: Huntington Bank, 2 T880 DC (June 2022). Source: Meiborg_Debt_Schedule_202511.xlsx</t>
      </text>
    </comment>
    <comment ref="E439" authorId="0" shapeId="0">
      <text>
        <t>Loan: Huntington Bank, 2 T880 DC (June 2022). Source: Meiborg_Debt_Schedule_202511.xlsx</t>
      </text>
    </comment>
    <comment ref="F439" authorId="0" shapeId="0">
      <text>
        <t>Loan: Huntington Bank, 2 T880 DC (June 2022). Source: Meiborg_Debt_Schedule_202511.xlsx</t>
      </text>
    </comment>
    <comment ref="C440" authorId="0" shapeId="0">
      <text>
        <t>Loan: Huntington Bank, 2 T880 DC (June 2022). Source: Meiborg_Debt_Schedule_202511.xlsx</t>
      </text>
    </comment>
    <comment ref="D440" authorId="0" shapeId="0">
      <text>
        <t>Loan: Huntington Bank, 2 T880 DC (June 2022). Source: Meiborg_Debt_Schedule_202511.xlsx</t>
      </text>
    </comment>
    <comment ref="E440" authorId="0" shapeId="0">
      <text>
        <t>Loan: Huntington Bank, 2 T880 DC (June 2022). Source: Meiborg_Debt_Schedule_202511.xlsx</t>
      </text>
    </comment>
    <comment ref="F440" authorId="0" shapeId="0">
      <text>
        <t>Loan: Huntington Bank, 2 T880 DC (June 2022). Source: Meiborg_Debt_Schedule_202511.xlsx</t>
      </text>
    </comment>
    <comment ref="C441" authorId="0" shapeId="0">
      <text>
        <t>Loan: Huntington Bank, 2 T880 DC (June 2022). Source: Meiborg_Debt_Schedule_202511.xlsx</t>
      </text>
    </comment>
    <comment ref="D441" authorId="0" shapeId="0">
      <text>
        <t>Loan: Huntington Bank, 2 T880 DC (June 2022). Source: Meiborg_Debt_Schedule_202511.xlsx</t>
      </text>
    </comment>
    <comment ref="E441" authorId="0" shapeId="0">
      <text>
        <t>Loan: Huntington Bank, 2 T880 DC (June 2022). Source: Meiborg_Debt_Schedule_202511.xlsx</t>
      </text>
    </comment>
    <comment ref="F441" authorId="0" shapeId="0">
      <text>
        <t>Loan: Huntington Bank, 2 T880 DC (June 2022). Source: Meiborg_Debt_Schedule_202511.xlsx</t>
      </text>
    </comment>
    <comment ref="C442" authorId="0" shapeId="0">
      <text>
        <t>Loan: Huntington Bank, 2 T880 DC (June 2022). Source: Meiborg_Debt_Schedule_202511.xlsx</t>
      </text>
    </comment>
    <comment ref="D442" authorId="0" shapeId="0">
      <text>
        <t>Loan: Huntington Bank, 2 T880 DC (June 2022). Source: Meiborg_Debt_Schedule_202511.xlsx</t>
      </text>
    </comment>
    <comment ref="E442" authorId="0" shapeId="0">
      <text>
        <t>Loan: Huntington Bank, 2 T880 DC (June 2022). Source: Meiborg_Debt_Schedule_202511.xlsx</t>
      </text>
    </comment>
    <comment ref="F442" authorId="0" shapeId="0">
      <text>
        <t>Loan: Huntington Bank, 2 T880 DC (June 2022). Source: Meiborg_Debt_Schedule_202511.xlsx</t>
      </text>
    </comment>
    <comment ref="C443" authorId="0" shapeId="0">
      <text>
        <t>Loan: Huntington Bank, 2 T880 DC (June 2022). Source: Meiborg_Debt_Schedule_202511.xlsx</t>
      </text>
    </comment>
    <comment ref="D443" authorId="0" shapeId="0">
      <text>
        <t>Loan: Huntington Bank, 2 T880 DC (June 2022). Source: Meiborg_Debt_Schedule_202511.xlsx</t>
      </text>
    </comment>
    <comment ref="E443" authorId="0" shapeId="0">
      <text>
        <t>Loan: Huntington Bank, 2 T880 DC (June 2022). Source: Meiborg_Debt_Schedule_202511.xlsx</t>
      </text>
    </comment>
    <comment ref="F443" authorId="0" shapeId="0">
      <text>
        <t>Loan: Huntington Bank, 2 T880 DC (June 2022). Source: Meiborg_Debt_Schedule_202511.xlsx</t>
      </text>
    </comment>
    <comment ref="D444" authorId="0" shapeId="0">
      <text>
        <t>Sum of rows 378-443: Total interest over loan term</t>
      </text>
    </comment>
    <comment ref="E444" authorId="0" shapeId="0">
      <text>
        <t>Sum of rows 378-443: Total principal over loan term</t>
      </text>
    </comment>
  </commentList>
</comments>
</file>

<file path=xl/comments/comment15.xml><?xml version="1.0" encoding="utf-8"?>
<comments xmlns="http://schemas.openxmlformats.org/spreadsheetml/2006/main">
  <authors>
    <author>Model Builder</author>
  </authors>
  <commentList>
    <comment ref="B5" authorId="0" shapeId="0">
      <text>
        <t>Source: data/loans.md, Balboa Capital section
Extracted: 2026-05-19</t>
      </text>
    </comment>
    <comment ref="B6" authorId="0" shapeId="0">
      <text>
        <t>Source: data/loans.md, Balboa Capital section
Extracted: 2026-05-19</t>
      </text>
    </comment>
    <comment ref="B8" authorId="0" shapeId="0">
      <text>
        <t>Source: data/loans.md, Balboa Capital section
Extracted: 2026-05-19</t>
      </text>
    </comment>
    <comment ref="C21" authorId="0" shapeId="0">
      <text>
        <t>Opening balance from loan origination
Source: data/loans.md</t>
      </text>
    </comment>
    <comment ref="D21" authorId="0" shapeId="0">
      <text>
        <t>Loan: Balboa Capital, AMORTIZING
Source: data/loans.md</t>
      </text>
    </comment>
    <comment ref="D22" authorId="0" shapeId="0">
      <text>
        <t>Loan: Balboa Capital, AMORTIZING
Source: data/loans.md</t>
      </text>
    </comment>
    <comment ref="D23" authorId="0" shapeId="0">
      <text>
        <t>Loan: Balboa Capital, AMORTIZING
Source: data/loans.md</t>
      </text>
    </comment>
    <comment ref="D24" authorId="0" shapeId="0">
      <text>
        <t>Loan: Balboa Capital, AMORTIZING
Source: data/loans.md</t>
      </text>
    </comment>
    <comment ref="D25" authorId="0" shapeId="0">
      <text>
        <t>Loan: Balboa Capital, AMORTIZING
Source: data/loans.md</t>
      </text>
    </comment>
    <comment ref="D26" authorId="0" shapeId="0">
      <text>
        <t>Loan: Balboa Capital, AMORTIZING
Source: data/loans.md</t>
      </text>
    </comment>
    <comment ref="D27" authorId="0" shapeId="0">
      <text>
        <t>Loan: Balboa Capital, AMORTIZING
Source: data/loans.md</t>
      </text>
    </comment>
    <comment ref="D28" authorId="0" shapeId="0">
      <text>
        <t>Loan: Balboa Capital, AMORTIZING
Source: data/loans.md</t>
      </text>
    </comment>
    <comment ref="D29" authorId="0" shapeId="0">
      <text>
        <t>Loan: Balboa Capital, AMORTIZING
Source: data/loans.md</t>
      </text>
    </comment>
    <comment ref="D30" authorId="0" shapeId="0">
      <text>
        <t>Loan: Balboa Capital, AMORTIZING
Source: data/loans.md</t>
      </text>
    </comment>
    <comment ref="D31" authorId="0" shapeId="0">
      <text>
        <t>Loan: Balboa Capital, AMORTIZING
Source: data/loans.md</t>
      </text>
    </comment>
    <comment ref="D32" authorId="0" shapeId="0">
      <text>
        <t>Loan: Balboa Capital, AMORTIZING
Source: data/loans.md</t>
      </text>
    </comment>
    <comment ref="D33" authorId="0" shapeId="0">
      <text>
        <t>Loan: Balboa Capital, AMORTIZING
Source: data/loans.md</t>
      </text>
    </comment>
    <comment ref="D34" authorId="0" shapeId="0">
      <text>
        <t>Loan: Balboa Capital, AMORTIZING
Source: data/loans.md</t>
      </text>
    </comment>
    <comment ref="D35" authorId="0" shapeId="0">
      <text>
        <t>Loan: Balboa Capital, AMORTIZING
Source: data/loans.md</t>
      </text>
    </comment>
    <comment ref="D36" authorId="0" shapeId="0">
      <text>
        <t>Loan: Balboa Capital, AMORTIZING
Source: data/loans.md</t>
      </text>
    </comment>
    <comment ref="D37" authorId="0" shapeId="0">
      <text>
        <t>Loan: Balboa Capital, AMORTIZING
Source: data/loans.md</t>
      </text>
    </comment>
    <comment ref="D38" authorId="0" shapeId="0">
      <text>
        <t>Loan: Balboa Capital, AMORTIZING
Source: data/loans.md</t>
      </text>
    </comment>
    <comment ref="D39" authorId="0" shapeId="0">
      <text>
        <t>Loan: Balboa Capital, AMORTIZING
Source: data/loans.md</t>
      </text>
    </comment>
    <comment ref="D40" authorId="0" shapeId="0">
      <text>
        <t>Loan: Balboa Capital, AMORTIZING
Source: data/loans.md</t>
      </text>
    </comment>
    <comment ref="D41" authorId="0" shapeId="0">
      <text>
        <t>Loan: Balboa Capital, AMORTIZING
Source: data/loans.md</t>
      </text>
    </comment>
    <comment ref="D42" authorId="0" shapeId="0">
      <text>
        <t>Loan: Balboa Capital, AMORTIZING
Source: data/loans.md</t>
      </text>
    </comment>
    <comment ref="D43" authorId="0" shapeId="0">
      <text>
        <t>Loan: Balboa Capital, AMORTIZING
Source: data/loans.md</t>
      </text>
    </comment>
    <comment ref="D44" authorId="0" shapeId="0">
      <text>
        <t>Loan: Balboa Capital, AMORTIZING
Source: data/loans.md</t>
      </text>
    </comment>
    <comment ref="D45" authorId="0" shapeId="0">
      <text>
        <t>Loan: Balboa Capital, AMORTIZING
Source: data/loans.md</t>
      </text>
    </comment>
    <comment ref="D46" authorId="0" shapeId="0">
      <text>
        <t>Loan: Balboa Capital, AMORTIZING
Source: data/loans.md</t>
      </text>
    </comment>
    <comment ref="D48" authorId="0" shapeId="0">
      <text>
        <t>Sum of rows 21-46: Monthly interest payments</t>
      </text>
    </comment>
    <comment ref="D49" authorId="0" shapeId="0">
      <text>
        <t>Sum of rows 21-46: Monthly principal payments</t>
      </text>
    </comment>
  </commentList>
</comments>
</file>

<file path=xl/comments/comment16.xml><?xml version="1.0" encoding="utf-8"?>
<comments xmlns="http://schemas.openxmlformats.org/spreadsheetml/2006/main">
  <authors>
    <author>Model Builder</author>
  </authors>
  <commentList>
    <comment ref="A1" authorId="0" shapeId="0">
      <text>
        <t>Source: Meiborg_Debt_Schedule_202511.xlsx
Extracted: 2026-05-19</t>
      </text>
    </comment>
    <comment ref="B3" authorId="0" shapeId="0">
      <text>
        <t>Source: loans.md - Constellation Energy (Solar) section</t>
      </text>
    </comment>
    <comment ref="B5" authorId="0" shapeId="0">
      <text>
        <t>Sum of both Constellation solar loan balances as of Nov 30, 2025</t>
      </text>
    </comment>
    <comment ref="B6" authorId="0" shapeId="0">
      <text>
        <t>Sum of monthly payments: $15,302.47 + $11,544.21 = $26,846.68</t>
      </text>
    </comment>
    <comment ref="A10" authorId="0" shapeId="0">
      <text>
        <t>Driver: Both loans are 0% interest solar installation financing.
Derived from: loans.md classification</t>
      </text>
    </comment>
    <comment ref="A17" authorId="0" shapeId="0">
      <text>
        <t>Source: loans.md
Loan ID: 08-2925-000-000-00
Extracted: 2026-05-19</t>
      </text>
    </comment>
    <comment ref="B18" authorId="0" shapeId="0">
      <text>
        <t>Source: Meiborg_Debt_Schedule_202511.xlsx
Loan: 11th St - Solar (MH3)</t>
      </text>
    </comment>
    <comment ref="B22" authorId="0" shapeId="0">
      <text>
        <t>Source: loans.md - Remaining Balance as of Nov 30, 2025
Original Balance: $612,098.94</t>
      </text>
    </comment>
    <comment ref="B23" authorId="0" shapeId="0">
      <text>
        <t>Driver: Zero interest financing arrangement.
Source: loans.md</t>
      </text>
    </comment>
    <comment ref="B24" authorId="0" shapeId="0">
      <text>
        <t>Source: loans.md
Fixed monthly payment - entire amount reduces principal (0% interest)</t>
      </text>
    </comment>
    <comment ref="D28" authorId="0" shapeId="0">
      <text>
        <t>Loan: Constellation Energy, ZERO_INTEREST. Source: loans.md</t>
      </text>
    </comment>
    <comment ref="E28" authorId="0" shapeId="0">
      <text>
        <t>Loan: Constellation Energy, ZERO_INTEREST. Source: loans.md</t>
      </text>
    </comment>
    <comment ref="F28" authorId="0" shapeId="0">
      <text>
        <t>Loan: Constellation Energy, ZERO_INTEREST. Source: loans.md</t>
      </text>
    </comment>
    <comment ref="D29" authorId="0" shapeId="0">
      <text>
        <t>Loan: Constellation Energy, ZERO_INTEREST. Source: loans.md</t>
      </text>
    </comment>
    <comment ref="E29" authorId="0" shapeId="0">
      <text>
        <t>Loan: Constellation Energy, ZERO_INTEREST. Source: loans.md</t>
      </text>
    </comment>
    <comment ref="F29" authorId="0" shapeId="0">
      <text>
        <t>Loan: Constellation Energy, ZERO_INTEREST. Source: loans.md</t>
      </text>
    </comment>
    <comment ref="D30" authorId="0" shapeId="0">
      <text>
        <t>Loan: Constellation Energy, ZERO_INTEREST. Source: loans.md</t>
      </text>
    </comment>
    <comment ref="E30" authorId="0" shapeId="0">
      <text>
        <t>Loan: Constellation Energy, ZERO_INTEREST. Source: loans.md</t>
      </text>
    </comment>
    <comment ref="F30" authorId="0" shapeId="0">
      <text>
        <t>Loan: Constellation Energy, ZERO_INTEREST. Source: loans.md</t>
      </text>
    </comment>
    <comment ref="D31" authorId="0" shapeId="0">
      <text>
        <t>Loan: Constellation Energy, ZERO_INTEREST. Source: loans.md</t>
      </text>
    </comment>
    <comment ref="E31" authorId="0" shapeId="0">
      <text>
        <t>Loan: Constellation Energy, ZERO_INTEREST. Source: loans.md</t>
      </text>
    </comment>
    <comment ref="F31" authorId="0" shapeId="0">
      <text>
        <t>Loan: Constellation Energy, ZERO_INTEREST. Source: loans.md</t>
      </text>
    </comment>
    <comment ref="D32" authorId="0" shapeId="0">
      <text>
        <t>Loan: Constellation Energy, ZERO_INTEREST. Source: loans.md</t>
      </text>
    </comment>
    <comment ref="E32" authorId="0" shapeId="0">
      <text>
        <t>Loan: Constellation Energy, ZERO_INTEREST. Source: loans.md</t>
      </text>
    </comment>
    <comment ref="F32" authorId="0" shapeId="0">
      <text>
        <t>Loan: Constellation Energy, ZERO_INTEREST. Source: loans.md</t>
      </text>
    </comment>
    <comment ref="D33" authorId="0" shapeId="0">
      <text>
        <t>Loan: Constellation Energy, ZERO_INTEREST. Source: loans.md</t>
      </text>
    </comment>
    <comment ref="E33" authorId="0" shapeId="0">
      <text>
        <t>Loan: Constellation Energy, ZERO_INTEREST. Source: loans.md</t>
      </text>
    </comment>
    <comment ref="F33" authorId="0" shapeId="0">
      <text>
        <t>Loan: Constellation Energy, ZERO_INTEREST. Source: loans.md</t>
      </text>
    </comment>
    <comment ref="D34" authorId="0" shapeId="0">
      <text>
        <t>Loan: Constellation Energy, ZERO_INTEREST. Source: loans.md</t>
      </text>
    </comment>
    <comment ref="E34" authorId="0" shapeId="0">
      <text>
        <t>Loan: Constellation Energy, ZERO_INTEREST. Source: loans.md</t>
      </text>
    </comment>
    <comment ref="F34" authorId="0" shapeId="0">
      <text>
        <t>Loan: Constellation Energy, ZERO_INTEREST. Source: loans.md</t>
      </text>
    </comment>
    <comment ref="D35" authorId="0" shapeId="0">
      <text>
        <t>Loan: Constellation Energy, ZERO_INTEREST. Source: loans.md</t>
      </text>
    </comment>
    <comment ref="E35" authorId="0" shapeId="0">
      <text>
        <t>Loan: Constellation Energy, ZERO_INTEREST. Source: loans.md</t>
      </text>
    </comment>
    <comment ref="F35" authorId="0" shapeId="0">
      <text>
        <t>Loan: Constellation Energy, ZERO_INTEREST. Source: loans.md</t>
      </text>
    </comment>
    <comment ref="D36" authorId="0" shapeId="0">
      <text>
        <t>Loan: Constellation Energy, ZERO_INTEREST. Source: loans.md</t>
      </text>
    </comment>
    <comment ref="E36" authorId="0" shapeId="0">
      <text>
        <t>Loan: Constellation Energy, ZERO_INTEREST. Source: loans.md</t>
      </text>
    </comment>
    <comment ref="F36" authorId="0" shapeId="0">
      <text>
        <t>Loan: Constellation Energy, ZERO_INTEREST. Source: loans.md</t>
      </text>
    </comment>
    <comment ref="D37" authorId="0" shapeId="0">
      <text>
        <t>Loan: Constellation Energy, ZERO_INTEREST. Source: loans.md</t>
      </text>
    </comment>
    <comment ref="E37" authorId="0" shapeId="0">
      <text>
        <t>Loan: Constellation Energy, ZERO_INTEREST. Source: loans.md</t>
      </text>
    </comment>
    <comment ref="F37" authorId="0" shapeId="0">
      <text>
        <t>Loan: Constellation Energy, ZERO_INTEREST. Source: loans.md</t>
      </text>
    </comment>
    <comment ref="D38" authorId="0" shapeId="0">
      <text>
        <t>Loan: Constellation Energy, ZERO_INTEREST. Source: loans.md</t>
      </text>
    </comment>
    <comment ref="E38" authorId="0" shapeId="0">
      <text>
        <t>Loan: Constellation Energy, ZERO_INTEREST. Source: loans.md</t>
      </text>
    </comment>
    <comment ref="F38" authorId="0" shapeId="0">
      <text>
        <t>Loan: Constellation Energy, ZERO_INTEREST. Source: loans.md</t>
      </text>
    </comment>
    <comment ref="D39" authorId="0" shapeId="0">
      <text>
        <t>Loan: Constellation Energy, ZERO_INTEREST. Source: loans.md</t>
      </text>
    </comment>
    <comment ref="E39" authorId="0" shapeId="0">
      <text>
        <t>Loan: Constellation Energy, ZERO_INTEREST. Source: loans.md</t>
      </text>
    </comment>
    <comment ref="F39" authorId="0" shapeId="0">
      <text>
        <t>Loan: Constellation Energy, ZERO_INTEREST. Source: loans.md</t>
      </text>
    </comment>
    <comment ref="D40" authorId="0" shapeId="0">
      <text>
        <t>Loan: Constellation Energy, ZERO_INTEREST. Source: loans.md</t>
      </text>
    </comment>
    <comment ref="E40" authorId="0" shapeId="0">
      <text>
        <t>Loan: Constellation Energy, ZERO_INTEREST. Source: loans.md</t>
      </text>
    </comment>
    <comment ref="F40" authorId="0" shapeId="0">
      <text>
        <t>Loan: Constellation Energy, ZERO_INTEREST. Source: loans.md</t>
      </text>
    </comment>
    <comment ref="D41" authorId="0" shapeId="0">
      <text>
        <t>Loan: Constellation Energy, ZERO_INTEREST. Source: loans.md</t>
      </text>
    </comment>
    <comment ref="E41" authorId="0" shapeId="0">
      <text>
        <t>Loan: Constellation Energy, ZERO_INTEREST. Source: loans.md</t>
      </text>
    </comment>
    <comment ref="F41" authorId="0" shapeId="0">
      <text>
        <t>Loan: Constellation Energy, ZERO_INTEREST. Source: loans.md</t>
      </text>
    </comment>
    <comment ref="D42" authorId="0" shapeId="0">
      <text>
        <t>Loan: Constellation Energy, ZERO_INTEREST. Source: loans.md</t>
      </text>
    </comment>
    <comment ref="E42" authorId="0" shapeId="0">
      <text>
        <t>Loan: Constellation Energy, ZERO_INTEREST. Source: loans.md</t>
      </text>
    </comment>
    <comment ref="F42" authorId="0" shapeId="0">
      <text>
        <t>Loan: Constellation Energy, ZERO_INTEREST. Source: loans.md</t>
      </text>
    </comment>
    <comment ref="D43" authorId="0" shapeId="0">
      <text>
        <t>Loan: Constellation Energy, ZERO_INTEREST. Source: loans.md</t>
      </text>
    </comment>
    <comment ref="E43" authorId="0" shapeId="0">
      <text>
        <t>Loan: Constellation Energy, ZERO_INTEREST. Source: loans.md</t>
      </text>
    </comment>
    <comment ref="F43" authorId="0" shapeId="0">
      <text>
        <t>Loan: Constellation Energy, ZERO_INTEREST. Source: loans.md</t>
      </text>
    </comment>
    <comment ref="A46" authorId="0" shapeId="0">
      <text>
        <t>Source: loans.md
Loan ID: 10-2925-000-000-00
Extracted: 2026-05-19</t>
      </text>
    </comment>
    <comment ref="B47" authorId="0" shapeId="0">
      <text>
        <t>Source: Meiborg_Debt_Schedule_202511.xlsx
Loan: Harrison - Solar (MH5)</t>
      </text>
    </comment>
    <comment ref="B51" authorId="0" shapeId="0">
      <text>
        <t>Source: loans.md - Remaining Balance as of Nov 30, 2025
Original Balance: $461,768.59</t>
      </text>
    </comment>
    <comment ref="B52" authorId="0" shapeId="0">
      <text>
        <t>Driver: Zero interest financing arrangement.
Source: loans.md</t>
      </text>
    </comment>
    <comment ref="B53" authorId="0" shapeId="0">
      <text>
        <t>Source: loans.md
Fixed monthly payment - entire amount reduces principal (0% interest)</t>
      </text>
    </comment>
    <comment ref="D57" authorId="0" shapeId="0">
      <text>
        <t>Loan: Constellation Energy, ZERO_INTEREST. Source: loans.md</t>
      </text>
    </comment>
    <comment ref="E57" authorId="0" shapeId="0">
      <text>
        <t>Loan: Constellation Energy, ZERO_INTEREST. Source: loans.md</t>
      </text>
    </comment>
    <comment ref="F57" authorId="0" shapeId="0">
      <text>
        <t>Loan: Constellation Energy, ZERO_INTEREST. Source: loans.md</t>
      </text>
    </comment>
    <comment ref="D58" authorId="0" shapeId="0">
      <text>
        <t>Loan: Constellation Energy, ZERO_INTEREST. Source: loans.md</t>
      </text>
    </comment>
    <comment ref="E58" authorId="0" shapeId="0">
      <text>
        <t>Loan: Constellation Energy, ZERO_INTEREST. Source: loans.md</t>
      </text>
    </comment>
    <comment ref="F58" authorId="0" shapeId="0">
      <text>
        <t>Loan: Constellation Energy, ZERO_INTEREST. Source: loans.md</t>
      </text>
    </comment>
    <comment ref="D59" authorId="0" shapeId="0">
      <text>
        <t>Loan: Constellation Energy, ZERO_INTEREST. Source: loans.md</t>
      </text>
    </comment>
    <comment ref="E59" authorId="0" shapeId="0">
      <text>
        <t>Loan: Constellation Energy, ZERO_INTEREST. Source: loans.md</t>
      </text>
    </comment>
    <comment ref="F59" authorId="0" shapeId="0">
      <text>
        <t>Loan: Constellation Energy, ZERO_INTEREST. Source: loans.md</t>
      </text>
    </comment>
    <comment ref="D60" authorId="0" shapeId="0">
      <text>
        <t>Loan: Constellation Energy, ZERO_INTEREST. Source: loans.md</t>
      </text>
    </comment>
    <comment ref="E60" authorId="0" shapeId="0">
      <text>
        <t>Loan: Constellation Energy, ZERO_INTEREST. Source: loans.md</t>
      </text>
    </comment>
    <comment ref="F60" authorId="0" shapeId="0">
      <text>
        <t>Loan: Constellation Energy, ZERO_INTEREST. Source: loans.md</t>
      </text>
    </comment>
    <comment ref="D61" authorId="0" shapeId="0">
      <text>
        <t>Loan: Constellation Energy, ZERO_INTEREST. Source: loans.md</t>
      </text>
    </comment>
    <comment ref="E61" authorId="0" shapeId="0">
      <text>
        <t>Loan: Constellation Energy, ZERO_INTEREST. Source: loans.md</t>
      </text>
    </comment>
    <comment ref="F61" authorId="0" shapeId="0">
      <text>
        <t>Loan: Constellation Energy, ZERO_INTEREST. Source: loans.md</t>
      </text>
    </comment>
    <comment ref="D62" authorId="0" shapeId="0">
      <text>
        <t>Loan: Constellation Energy, ZERO_INTEREST. Source: loans.md</t>
      </text>
    </comment>
    <comment ref="E62" authorId="0" shapeId="0">
      <text>
        <t>Loan: Constellation Energy, ZERO_INTEREST. Source: loans.md</t>
      </text>
    </comment>
    <comment ref="F62" authorId="0" shapeId="0">
      <text>
        <t>Loan: Constellation Energy, ZERO_INTEREST. Source: loans.md</t>
      </text>
    </comment>
    <comment ref="D63" authorId="0" shapeId="0">
      <text>
        <t>Loan: Constellation Energy, ZERO_INTEREST. Source: loans.md</t>
      </text>
    </comment>
    <comment ref="E63" authorId="0" shapeId="0">
      <text>
        <t>Loan: Constellation Energy, ZERO_INTEREST. Source: loans.md</t>
      </text>
    </comment>
    <comment ref="F63" authorId="0" shapeId="0">
      <text>
        <t>Loan: Constellation Energy, ZERO_INTEREST. Source: loans.md</t>
      </text>
    </comment>
    <comment ref="D64" authorId="0" shapeId="0">
      <text>
        <t>Loan: Constellation Energy, ZERO_INTEREST. Source: loans.md</t>
      </text>
    </comment>
    <comment ref="E64" authorId="0" shapeId="0">
      <text>
        <t>Loan: Constellation Energy, ZERO_INTEREST. Source: loans.md</t>
      </text>
    </comment>
    <comment ref="F64" authorId="0" shapeId="0">
      <text>
        <t>Loan: Constellation Energy, ZERO_INTEREST. Source: loans.md</t>
      </text>
    </comment>
    <comment ref="D65" authorId="0" shapeId="0">
      <text>
        <t>Loan: Constellation Energy, ZERO_INTEREST. Source: loans.md</t>
      </text>
    </comment>
    <comment ref="E65" authorId="0" shapeId="0">
      <text>
        <t>Loan: Constellation Energy, ZERO_INTEREST. Source: loans.md</t>
      </text>
    </comment>
    <comment ref="F65" authorId="0" shapeId="0">
      <text>
        <t>Loan: Constellation Energy, ZERO_INTEREST. Source: loans.md</t>
      </text>
    </comment>
    <comment ref="D66" authorId="0" shapeId="0">
      <text>
        <t>Loan: Constellation Energy, ZERO_INTEREST. Source: loans.md</t>
      </text>
    </comment>
    <comment ref="E66" authorId="0" shapeId="0">
      <text>
        <t>Loan: Constellation Energy, ZERO_INTEREST. Source: loans.md</t>
      </text>
    </comment>
    <comment ref="F66" authorId="0" shapeId="0">
      <text>
        <t>Loan: Constellation Energy, ZERO_INTEREST. Source: loans.md</t>
      </text>
    </comment>
    <comment ref="D67" authorId="0" shapeId="0">
      <text>
        <t>Loan: Constellation Energy, ZERO_INTEREST. Source: loans.md</t>
      </text>
    </comment>
    <comment ref="E67" authorId="0" shapeId="0">
      <text>
        <t>Loan: Constellation Energy, ZERO_INTEREST. Source: loans.md</t>
      </text>
    </comment>
    <comment ref="F67" authorId="0" shapeId="0">
      <text>
        <t>Loan: Constellation Energy, ZERO_INTEREST. Source: loans.md</t>
      </text>
    </comment>
    <comment ref="D68" authorId="0" shapeId="0">
      <text>
        <t>Loan: Constellation Energy, ZERO_INTEREST. Source: loans.md</t>
      </text>
    </comment>
    <comment ref="E68" authorId="0" shapeId="0">
      <text>
        <t>Loan: Constellation Energy, ZERO_INTEREST. Source: loans.md</t>
      </text>
    </comment>
    <comment ref="F68" authorId="0" shapeId="0">
      <text>
        <t>Loan: Constellation Energy, ZERO_INTEREST. Source: loans.md</t>
      </text>
    </comment>
    <comment ref="D69" authorId="0" shapeId="0">
      <text>
        <t>Loan: Constellation Energy, ZERO_INTEREST. Source: loans.md</t>
      </text>
    </comment>
    <comment ref="E69" authorId="0" shapeId="0">
      <text>
        <t>Loan: Constellation Energy, ZERO_INTEREST. Source: loans.md</t>
      </text>
    </comment>
    <comment ref="F69" authorId="0" shapeId="0">
      <text>
        <t>Loan: Constellation Energy, ZERO_INTEREST. Source: loans.md</t>
      </text>
    </comment>
    <comment ref="D70" authorId="0" shapeId="0">
      <text>
        <t>Loan: Constellation Energy, ZERO_INTEREST. Source: loans.md</t>
      </text>
    </comment>
    <comment ref="E70" authorId="0" shapeId="0">
      <text>
        <t>Loan: Constellation Energy, ZERO_INTEREST. Source: loans.md</t>
      </text>
    </comment>
    <comment ref="F70" authorId="0" shapeId="0">
      <text>
        <t>Loan: Constellation Energy, ZERO_INTEREST. Source: loans.md</t>
      </text>
    </comment>
    <comment ref="D71" authorId="0" shapeId="0">
      <text>
        <t>Loan: Constellation Energy, ZERO_INTEREST. Source: loans.md</t>
      </text>
    </comment>
    <comment ref="E71" authorId="0" shapeId="0">
      <text>
        <t>Loan: Constellation Energy, ZERO_INTEREST. Source: loans.md</t>
      </text>
    </comment>
    <comment ref="F71" authorId="0" shapeId="0">
      <text>
        <t>Loan: Constellation Energy, ZERO_INTEREST. Source: loans.md</t>
      </text>
    </comment>
    <comment ref="D72" authorId="0" shapeId="0">
      <text>
        <t>Loan: Constellation Energy, ZERO_INTEREST. Source: loans.md</t>
      </text>
    </comment>
    <comment ref="E72" authorId="0" shapeId="0">
      <text>
        <t>Loan: Constellation Energy, ZERO_INTEREST. Source: loans.md</t>
      </text>
    </comment>
    <comment ref="F72" authorId="0" shapeId="0">
      <text>
        <t>Loan: Constellation Energy, ZERO_INTEREST. Source: loans.md</t>
      </text>
    </comment>
  </commentList>
</comments>
</file>

<file path=xl/comments/comment17.xml><?xml version="1.0" encoding="utf-8"?>
<comments xmlns="http://schemas.openxmlformats.org/spreadsheetml/2006/main">
  <authors>
    <author>Model Builder</author>
  </authors>
  <commentList>
    <comment ref="B1" authorId="0" shapeId="0">
      <text>
        <t>Source: income_statement.md
Built: 2026-05-19</t>
      </text>
    </comment>
    <comment ref="C4" authorId="0" shapeId="0">
      <text>
        <t>Source: income_statement.md, 2021A
Extracted: 2026-05-19</t>
      </text>
    </comment>
    <comment ref="D4" authorId="0" shapeId="0">
      <text>
        <t>Source: income_statement.md, 2022A
Extracted: 2026-05-19</t>
      </text>
    </comment>
    <comment ref="E4" authorId="0" shapeId="0">
      <text>
        <t>Source: income_statement.md, 2023A
Extracted: 2026-05-19</t>
      </text>
    </comment>
    <comment ref="F4" authorId="0" shapeId="0">
      <text>
        <t>Source: income_statement.md, 2024A
Extracted: 2026-05-19</t>
      </text>
    </comment>
    <comment ref="G4" authorId="0" shapeId="0">
      <text>
        <t>Source: income_statement.md, 2025A
Extracted: 2026-05-19</t>
      </text>
    </comment>
    <comment ref="H4" authorId="0" shapeId="0">
      <text>
        <t>Projection: Freight Revenue 2026E = 2025A * (1 + Revenue Growth Rate).
Growth rates: Downside=-3%, Base=5%, Upside=10%</t>
      </text>
    </comment>
    <comment ref="I4" authorId="0" shapeId="0">
      <text>
        <t>Projection: Freight Revenue 2027E = 2026E * (1 + Revenue Growth Rate).
Growth rates: Downside=0%, Base=6%, Upside=12%</t>
      </text>
    </comment>
    <comment ref="C5" authorId="0" shapeId="0">
      <text>
        <t>Source: income_statement.md, 2021A
Extracted: 2026-05-19</t>
      </text>
    </comment>
    <comment ref="D5" authorId="0" shapeId="0">
      <text>
        <t>Source: income_statement.md, 2022A
Extracted: 2026-05-19</t>
      </text>
    </comment>
    <comment ref="E5" authorId="0" shapeId="0">
      <text>
        <t>Source: income_statement.md, 2023A
Extracted: 2026-05-19</t>
      </text>
    </comment>
    <comment ref="F5" authorId="0" shapeId="0">
      <text>
        <t>Source: income_statement.md, 2024A
Extracted: 2026-05-19</t>
      </text>
    </comment>
    <comment ref="G5" authorId="0" shapeId="0">
      <text>
        <t>Source: income_statement.md, 2025A
Extracted: 2026-05-19</t>
      </text>
    </comment>
    <comment ref="H5" authorId="0" shapeId="0">
      <text>
        <t>Projection: Fuel Surcharge 2026E = 2025A * (1 + Revenue Growth Rate).
Growth rates: Downside=-3%, Base=5%, Upside=10%</t>
      </text>
    </comment>
    <comment ref="I5" authorId="0" shapeId="0">
      <text>
        <t>Projection: Fuel Surcharge 2027E = 2026E * (1 + Revenue Growth Rate).
Growth rates: Downside=0%, Base=6%, Upside=12%</t>
      </text>
    </comment>
    <comment ref="C6" authorId="0" shapeId="0">
      <text>
        <t>Source: income_statement.md, 2021A
Extracted: 2026-05-19</t>
      </text>
    </comment>
    <comment ref="D6" authorId="0" shapeId="0">
      <text>
        <t>Source: income_statement.md, 2022A
Extracted: 2026-05-19</t>
      </text>
    </comment>
    <comment ref="E6" authorId="0" shapeId="0">
      <text>
        <t>Source: income_statement.md, 2023A
Extracted: 2026-05-19</t>
      </text>
    </comment>
    <comment ref="F6" authorId="0" shapeId="0">
      <text>
        <t>Source: income_statement.md, 2024A
Extracted: 2026-05-19</t>
      </text>
    </comment>
    <comment ref="G6" authorId="0" shapeId="0">
      <text>
        <t>Source: income_statement.md, 2025A
Extracted: 2026-05-19</t>
      </text>
    </comment>
    <comment ref="H6" authorId="0" shapeId="0">
      <text>
        <t>Projection: Brokerage Revenue 2026E = 2025A * (1 + Revenue Growth Rate).
Growth rates: Downside=-3%, Base=5%, Upside=10%</t>
      </text>
    </comment>
    <comment ref="I6" authorId="0" shapeId="0">
      <text>
        <t>Projection: Brokerage Revenue 2027E = 2026E * (1 + Revenue Growth Rate).
Growth rates: Downside=0%, Base=6%, Upside=12%</t>
      </text>
    </comment>
    <comment ref="C7" authorId="0" shapeId="0">
      <text>
        <t>Source: income_statement.md, 2021A
Extracted: 2026-05-19</t>
      </text>
    </comment>
    <comment ref="D7" authorId="0" shapeId="0">
      <text>
        <t>Source: income_statement.md, 2022A
Extracted: 2026-05-19</t>
      </text>
    </comment>
    <comment ref="E7" authorId="0" shapeId="0">
      <text>
        <t>Source: income_statement.md, 2023A
Extracted: 2026-05-19</t>
      </text>
    </comment>
    <comment ref="F7" authorId="0" shapeId="0">
      <text>
        <t>Source: income_statement.md, 2024A
Extracted: 2026-05-19</t>
      </text>
    </comment>
    <comment ref="G7" authorId="0" shapeId="0">
      <text>
        <t>Source: income_statement.md, 2025A
Extracted: 2026-05-19</t>
      </text>
    </comment>
    <comment ref="H7" authorId="0" shapeId="0">
      <text>
        <t>Projection: Rental Revenue 2026E = 2025A * (1 + Revenue Growth Rate).
Growth rates: Downside=-3%, Base=5%, Upside=10%</t>
      </text>
    </comment>
    <comment ref="I7" authorId="0" shapeId="0">
      <text>
        <t>Projection: Rental Revenue 2027E = 2026E * (1 + Revenue Growth Rate).
Growth rates: Downside=0%, Base=6%, Upside=12%</t>
      </text>
    </comment>
    <comment ref="C8" authorId="0" shapeId="0">
      <text>
        <t>Source: income_statement.md, 2021A
Extracted: 2026-05-19</t>
      </text>
    </comment>
    <comment ref="D8" authorId="0" shapeId="0">
      <text>
        <t>Source: income_statement.md, 2022A
Extracted: 2026-05-19</t>
      </text>
    </comment>
    <comment ref="E8" authorId="0" shapeId="0">
      <text>
        <t>Source: income_statement.md, 2023A
Extracted: 2026-05-19</t>
      </text>
    </comment>
    <comment ref="F8" authorId="0" shapeId="0">
      <text>
        <t>Source: income_statement.md, 2024A
Extracted: 2026-05-19</t>
      </text>
    </comment>
    <comment ref="G8" authorId="0" shapeId="0">
      <text>
        <t>Source: income_statement.md, 2025A
Extracted: 2026-05-19</t>
      </text>
    </comment>
    <comment ref="H8" authorId="0" shapeId="0">
      <text>
        <t>Projection: Shop Revenue 2026E = 2025A * (1 + Revenue Growth Rate).
Growth rates: Downside=-3%, Base=5%, Upside=10%</t>
      </text>
    </comment>
    <comment ref="I8" authorId="0" shapeId="0">
      <text>
        <t>Projection: Shop Revenue 2027E = 2026E * (1 + Revenue Growth Rate).
Growth rates: Downside=0%, Base=6%, Upside=12%</t>
      </text>
    </comment>
    <comment ref="C9" authorId="0" shapeId="0">
      <text>
        <t>Source: income_statement.md, 2021A
Extracted: 2026-05-19</t>
      </text>
    </comment>
    <comment ref="D9" authorId="0" shapeId="0">
      <text>
        <t>Source: income_statement.md, 2022A
Extracted: 2026-05-19</t>
      </text>
    </comment>
    <comment ref="E9" authorId="0" shapeId="0">
      <text>
        <t>Source: income_statement.md, 2023A
Extracted: 2026-05-19</t>
      </text>
    </comment>
    <comment ref="F9" authorId="0" shapeId="0">
      <text>
        <t>Source: income_statement.md, 2024A
Extracted: 2026-05-19</t>
      </text>
    </comment>
    <comment ref="G9" authorId="0" shapeId="0">
      <text>
        <t>Source: income_statement.md, 2025A
Extracted: 2026-05-19</t>
      </text>
    </comment>
    <comment ref="H9" authorId="0" shapeId="0">
      <text>
        <t>Projection: Shuttle Revenue 2026E = 2025A * (1 + Revenue Growth Rate).
Growth rates: Downside=-3%, Base=5%, Upside=10%</t>
      </text>
    </comment>
    <comment ref="I9" authorId="0" shapeId="0">
      <text>
        <t>Projection: Shuttle Revenue 2027E = 2026E * (1 + Revenue Growth Rate).
Growth rates: Downside=0%, Base=6%, Upside=12%</t>
      </text>
    </comment>
    <comment ref="C10" authorId="0" shapeId="0">
      <text>
        <t>Source: income_statement.md, 2021A
Extracted: 2026-05-19</t>
      </text>
    </comment>
    <comment ref="D10" authorId="0" shapeId="0">
      <text>
        <t>Source: income_statement.md, 2022A
Extracted: 2026-05-19</t>
      </text>
    </comment>
    <comment ref="E10" authorId="0" shapeId="0">
      <text>
        <t>Source: income_statement.md, 2023A
Extracted: 2026-05-19</t>
      </text>
    </comment>
    <comment ref="F10" authorId="0" shapeId="0">
      <text>
        <t>Source: income_statement.md, 2024A
Extracted: 2026-05-19</t>
      </text>
    </comment>
    <comment ref="G10" authorId="0" shapeId="0">
      <text>
        <t>Source: income_statement.md, 2025A
Extracted: 2026-05-19</t>
      </text>
    </comment>
    <comment ref="H10" authorId="0" shapeId="0">
      <text>
        <t>Projection: Warehouse Revenue 2026E = 2025A * (1 + Revenue Growth Rate).
Growth rates: Downside=-3%, Base=5%, Upside=10%</t>
      </text>
    </comment>
    <comment ref="I10" authorId="0" shapeId="0">
      <text>
        <t>Projection: Warehouse Revenue 2027E = 2026E * (1 + Revenue Growth Rate).
Growth rates: Downside=0%, Base=6%, Upside=12%</t>
      </text>
    </comment>
    <comment ref="C11" authorId="0" shapeId="0">
      <text>
        <t>Source: income_statement.md, 2021A
Extracted: 2026-05-19</t>
      </text>
    </comment>
    <comment ref="D11" authorId="0" shapeId="0">
      <text>
        <t>Source: income_statement.md, 2022A
Extracted: 2026-05-19</t>
      </text>
    </comment>
    <comment ref="E11" authorId="0" shapeId="0">
      <text>
        <t>Source: income_statement.md, 2023A
Extracted: 2026-05-19</t>
      </text>
    </comment>
    <comment ref="F11" authorId="0" shapeId="0">
      <text>
        <t>Source: income_statement.md, 2024A
Extracted: 2026-05-19</t>
      </text>
    </comment>
    <comment ref="G11" authorId="0" shapeId="0">
      <text>
        <t>Source: income_statement.md, 2025A
Extracted: 2026-05-19</t>
      </text>
    </comment>
    <comment ref="H11" authorId="0" shapeId="0">
      <text>
        <t>Projection: Other Revenue 2026E = 2025A * (1 + Revenue Growth Rate).
Growth rates: Downside=-3%, Base=5%, Upside=10%</t>
      </text>
    </comment>
    <comment ref="I11" authorId="0" shapeId="0">
      <text>
        <t>Projection: Other Revenue 2027E = 2026E * (1 + Revenue Growth Rate).
Growth rates: Downside=0%, Base=6%, Upside=12%</t>
      </text>
    </comment>
    <comment ref="C12" authorId="0" shapeId="0">
      <text>
        <t>Sum of rows 4-11: Revenue items</t>
      </text>
    </comment>
    <comment ref="D12" authorId="0" shapeId="0">
      <text>
        <t>Sum of rows 4-11: Revenue items</t>
      </text>
    </comment>
    <comment ref="E12" authorId="0" shapeId="0">
      <text>
        <t>Sum of rows 4-11: Revenue items</t>
      </text>
    </comment>
    <comment ref="F12" authorId="0" shapeId="0">
      <text>
        <t>Sum of rows 4-11: Revenue items</t>
      </text>
    </comment>
    <comment ref="G12" authorId="0" shapeId="0">
      <text>
        <t>Sum of rows 4-11: Revenue items</t>
      </text>
    </comment>
    <comment ref="H12" authorId="0" shapeId="0">
      <text>
        <t>Sum of rows 4-11: Freight, Fuel Surcharge, Brokerage, Rental, Shop, Shuttle, Warehouse, Other Revenue</t>
      </text>
    </comment>
    <comment ref="I12" authorId="0" shapeId="0">
      <text>
        <t>Sum of rows 4-11: Freight, Fuel Surcharge, Brokerage, Rental, Shop, Shuttle, Warehouse, Other Revenue</t>
      </text>
    </comment>
    <comment ref="C15" authorId="0" shapeId="0">
      <text>
        <t>Source: income_statement.md, 2021A
Extracted: 2026-05-19</t>
      </text>
    </comment>
    <comment ref="D15" authorId="0" shapeId="0">
      <text>
        <t>Source: income_statement.md, 2022A
Extracted: 2026-05-19</t>
      </text>
    </comment>
    <comment ref="E15" authorId="0" shapeId="0">
      <text>
        <t>Source: income_statement.md, 2023A
Extracted: 2026-05-19</t>
      </text>
    </comment>
    <comment ref="F15" authorId="0" shapeId="0">
      <text>
        <t>Source: income_statement.md, 2024A
Extracted: 2026-05-19</t>
      </text>
    </comment>
    <comment ref="G15" authorId="0" shapeId="0">
      <text>
        <t>Source: income_statement.md, 2025A
Extracted: 2026-05-19</t>
      </text>
    </comment>
    <comment ref="H15" authorId="0" shapeId="0">
      <text>
        <t>Projection: Salaries &amp; Wages - Drivers allocated based on 2025A mix proportion applied to projected COGS.
COGS %: Downside=82%, Base=80%, Upside=78%</t>
      </text>
    </comment>
    <comment ref="I15" authorId="0" shapeId="0">
      <text>
        <t>Projection: Salaries &amp; Wages - Drivers allocated based on 2025A mix proportion applied to projected COGS.
COGS %: Downside=82%, Base=80%, Upside=78%</t>
      </text>
    </comment>
    <comment ref="C16" authorId="0" shapeId="0">
      <text>
        <t>Source: income_statement.md, 2021A
Extracted: 2026-05-19</t>
      </text>
    </comment>
    <comment ref="D16" authorId="0" shapeId="0">
      <text>
        <t>Source: income_statement.md, 2022A
Extracted: 2026-05-19</t>
      </text>
    </comment>
    <comment ref="E16" authorId="0" shapeId="0">
      <text>
        <t>Source: income_statement.md, 2023A
Extracted: 2026-05-19</t>
      </text>
    </comment>
    <comment ref="F16" authorId="0" shapeId="0">
      <text>
        <t>Source: income_statement.md, 2024A
Extracted: 2026-05-19</t>
      </text>
    </comment>
    <comment ref="G16" authorId="0" shapeId="0">
      <text>
        <t>Source: income_statement.md, 2025A
Extracted: 2026-05-19</t>
      </text>
    </comment>
    <comment ref="H16" authorId="0" shapeId="0">
      <text>
        <t>Projection: Employee Benefits allocated based on 2025A mix proportion applied to projected COGS.
COGS %: Downside=82%, Base=80%, Upside=78%</t>
      </text>
    </comment>
    <comment ref="I16" authorId="0" shapeId="0">
      <text>
        <t>Projection: Employee Benefits allocated based on 2025A mix proportion applied to projected COGS.
COGS %: Downside=82%, Base=80%, Upside=78%</t>
      </text>
    </comment>
    <comment ref="C17" authorId="0" shapeId="0">
      <text>
        <t>Source: income_statement.md, 2021A
Extracted: 2026-05-19</t>
      </text>
    </comment>
    <comment ref="D17" authorId="0" shapeId="0">
      <text>
        <t>Source: income_statement.md, 2022A
Extracted: 2026-05-19</t>
      </text>
    </comment>
    <comment ref="E17" authorId="0" shapeId="0">
      <text>
        <t>Source: income_statement.md, 2023A
Extracted: 2026-05-19</t>
      </text>
    </comment>
    <comment ref="F17" authorId="0" shapeId="0">
      <text>
        <t>Source: income_statement.md, 2024A
Extracted: 2026-05-19</t>
      </text>
    </comment>
    <comment ref="G17" authorId="0" shapeId="0">
      <text>
        <t>Source: income_statement.md, 2025A
Extracted: 2026-05-19</t>
      </text>
    </comment>
    <comment ref="H17" authorId="0" shapeId="0">
      <text>
        <t>Projection: COGS - Materials allocated based on 2025A mix proportion applied to projected COGS.
COGS %: Downside=82%, Base=80%, Upside=78%</t>
      </text>
    </comment>
    <comment ref="I17" authorId="0" shapeId="0">
      <text>
        <t>Projection: COGS - Materials allocated based on 2025A mix proportion applied to projected COGS.
COGS %: Downside=82%, Base=80%, Upside=78%</t>
      </text>
    </comment>
    <comment ref="C18" authorId="0" shapeId="0">
      <text>
        <t>Source: income_statement.md, 2021A
Extracted: 2026-05-19</t>
      </text>
    </comment>
    <comment ref="D18" authorId="0" shapeId="0">
      <text>
        <t>Source: income_statement.md, 2022A
Extracted: 2026-05-19</t>
      </text>
    </comment>
    <comment ref="E18" authorId="0" shapeId="0">
      <text>
        <t>Source: income_statement.md, 2023A
Extracted: 2026-05-19</t>
      </text>
    </comment>
    <comment ref="F18" authorId="0" shapeId="0">
      <text>
        <t>Source: income_statement.md, 2024A
Extracted: 2026-05-19</t>
      </text>
    </comment>
    <comment ref="G18" authorId="0" shapeId="0">
      <text>
        <t>Source: income_statement.md, 2025A
Extracted: 2026-05-19</t>
      </text>
    </comment>
    <comment ref="H18" authorId="0" shapeId="0">
      <text>
        <t>Projection: Fuel &amp; Oil allocated based on 2025A mix proportion applied to projected COGS.
COGS %: Downside=82%, Base=80%, Upside=78%</t>
      </text>
    </comment>
    <comment ref="I18" authorId="0" shapeId="0">
      <text>
        <t>Projection: Fuel &amp; Oil allocated based on 2025A mix proportion applied to projected COGS.
COGS %: Downside=82%, Base=80%, Upside=78%</t>
      </text>
    </comment>
    <comment ref="C19" authorId="0" shapeId="0">
      <text>
        <t>Source: income_statement.md, 2021A
Extracted: 2026-05-19</t>
      </text>
    </comment>
    <comment ref="D19" authorId="0" shapeId="0">
      <text>
        <t>Source: income_statement.md, 2022A
Extracted: 2026-05-19</t>
      </text>
    </comment>
    <comment ref="E19" authorId="0" shapeId="0">
      <text>
        <t>Source: income_statement.md, 2023A
Extracted: 2026-05-19</t>
      </text>
    </comment>
    <comment ref="F19" authorId="0" shapeId="0">
      <text>
        <t>Source: income_statement.md, 2024A
Extracted: 2026-05-19</t>
      </text>
    </comment>
    <comment ref="G19" authorId="0" shapeId="0">
      <text>
        <t>Source: income_statement.md, 2025A
Extracted: 2026-05-19</t>
      </text>
    </comment>
    <comment ref="H19" authorId="0" shapeId="0">
      <text>
        <t>Projection: Repairs &amp; Maintenance allocated based on 2025A mix proportion applied to projected COGS.
COGS %: Downside=82%, Base=80%, Upside=78%</t>
      </text>
    </comment>
    <comment ref="I19" authorId="0" shapeId="0">
      <text>
        <t>Projection: Repairs &amp; Maintenance allocated based on 2025A mix proportion applied to projected COGS.
COGS %: Downside=82%, Base=80%, Upside=78%</t>
      </text>
    </comment>
    <comment ref="C20" authorId="0" shapeId="0">
      <text>
        <t>Source: income_statement.md, 2021A
Extracted: 2026-05-19</t>
      </text>
    </comment>
    <comment ref="D20" authorId="0" shapeId="0">
      <text>
        <t>Source: income_statement.md, 2022A
Extracted: 2026-05-19</t>
      </text>
    </comment>
    <comment ref="E20" authorId="0" shapeId="0">
      <text>
        <t>Source: income_statement.md, 2023A
Extracted: 2026-05-19</t>
      </text>
    </comment>
    <comment ref="F20" authorId="0" shapeId="0">
      <text>
        <t>Source: income_statement.md, 2024A
Extracted: 2026-05-19</t>
      </text>
    </comment>
    <comment ref="G20" authorId="0" shapeId="0">
      <text>
        <t>Source: income_statement.md, 2025A
Extracted: 2026-05-19</t>
      </text>
    </comment>
    <comment ref="H20" authorId="0" shapeId="0">
      <text>
        <t>Projection: Operating Supplies allocated based on 2025A mix proportion applied to projected COGS.
COGS %: Downside=82%, Base=80%, Upside=78%</t>
      </text>
    </comment>
    <comment ref="I20" authorId="0" shapeId="0">
      <text>
        <t>Projection: Operating Supplies allocated based on 2025A mix proportion applied to projected COGS.
COGS %: Downside=82%, Base=80%, Upside=78%</t>
      </text>
    </comment>
    <comment ref="C21" authorId="0" shapeId="0">
      <text>
        <t>Source: income_statement.md, 2021A
Extracted: 2026-05-19</t>
      </text>
    </comment>
    <comment ref="D21" authorId="0" shapeId="0">
      <text>
        <t>Source: income_statement.md, 2022A
Extracted: 2026-05-19</t>
      </text>
    </comment>
    <comment ref="E21" authorId="0" shapeId="0">
      <text>
        <t>Source: income_statement.md, 2023A
Extracted: 2026-05-19</t>
      </text>
    </comment>
    <comment ref="F21" authorId="0" shapeId="0">
      <text>
        <t>Source: income_statement.md, 2024A
Extracted: 2026-05-19</t>
      </text>
    </comment>
    <comment ref="G21" authorId="0" shapeId="0">
      <text>
        <t>Source: income_statement.md, 2025A
Extracted: 2026-05-19</t>
      </text>
    </comment>
    <comment ref="H21" authorId="0" shapeId="0">
      <text>
        <t>Projection: Insurance - Operations allocated based on 2025A mix proportion applied to projected COGS.
COGS %: Downside=82%, Base=80%, Upside=78%</t>
      </text>
    </comment>
    <comment ref="I21" authorId="0" shapeId="0">
      <text>
        <t>Projection: Insurance - Operations allocated based on 2025A mix proportion applied to projected COGS.
COGS %: Downside=82%, Base=80%, Upside=78%</t>
      </text>
    </comment>
    <comment ref="C22" authorId="0" shapeId="0">
      <text>
        <t>Source: income_statement.md, 2021A
Extracted: 2026-05-19</t>
      </text>
    </comment>
    <comment ref="D22" authorId="0" shapeId="0">
      <text>
        <t>Source: income_statement.md, 2022A
Extracted: 2026-05-19</t>
      </text>
    </comment>
    <comment ref="E22" authorId="0" shapeId="0">
      <text>
        <t>Source: income_statement.md, 2023A
Extracted: 2026-05-19</t>
      </text>
    </comment>
    <comment ref="F22" authorId="0" shapeId="0">
      <text>
        <t>Source: income_statement.md, 2024A
Extracted: 2026-05-19</t>
      </text>
    </comment>
    <comment ref="G22" authorId="0" shapeId="0">
      <text>
        <t>Source: income_statement.md, 2025A
Extracted: 2026-05-19</t>
      </text>
    </comment>
    <comment ref="H22" authorId="0" shapeId="0">
      <text>
        <t>Projection: Purchased Transportation allocated based on 2025A mix proportion applied to projected COGS.
COGS %: Downside=82%, Base=80%, Upside=78%</t>
      </text>
    </comment>
    <comment ref="I22" authorId="0" shapeId="0">
      <text>
        <t>Projection: Purchased Transportation allocated based on 2025A mix proportion applied to projected COGS.
COGS %: Downside=82%, Base=80%, Upside=78%</t>
      </text>
    </comment>
    <comment ref="C23" authorId="0" shapeId="0">
      <text>
        <t>Source: income_statement.md, 2021A
Extracted: 2026-05-19</t>
      </text>
    </comment>
    <comment ref="D23" authorId="0" shapeId="0">
      <text>
        <t>Source: income_statement.md, 2022A
Extracted: 2026-05-19</t>
      </text>
    </comment>
    <comment ref="E23" authorId="0" shapeId="0">
      <text>
        <t>Source: income_statement.md, 2023A
Extracted: 2026-05-19</t>
      </text>
    </comment>
    <comment ref="F23" authorId="0" shapeId="0">
      <text>
        <t>Source: income_statement.md, 2024A
Extracted: 2026-05-19</t>
      </text>
    </comment>
    <comment ref="G23" authorId="0" shapeId="0">
      <text>
        <t>Source: income_statement.md, 2025A
Extracted: 2026-05-19</t>
      </text>
    </comment>
    <comment ref="H23" authorId="0" shapeId="0">
      <text>
        <t>Projection: Equipment Rents allocated based on 2025A mix proportion applied to projected COGS.
COGS %: Downside=82%, Base=80%, Upside=78%</t>
      </text>
    </comment>
    <comment ref="I23" authorId="0" shapeId="0">
      <text>
        <t>Projection: Equipment Rents allocated based on 2025A mix proportion applied to projected COGS.
COGS %: Downside=82%, Base=80%, Upside=78%</t>
      </text>
    </comment>
    <comment ref="C24" authorId="0" shapeId="0">
      <text>
        <t>Source: income_statement.md, 2021A
Extracted: 2026-05-19</t>
      </text>
    </comment>
    <comment ref="D24" authorId="0" shapeId="0">
      <text>
        <t>Source: income_statement.md, 2022A
Extracted: 2026-05-19</t>
      </text>
    </comment>
    <comment ref="E24" authorId="0" shapeId="0">
      <text>
        <t>Source: income_statement.md, 2023A
Extracted: 2026-05-19</t>
      </text>
    </comment>
    <comment ref="F24" authorId="0" shapeId="0">
      <text>
        <t>Source: income_statement.md, 2024A
Extracted: 2026-05-19</t>
      </text>
    </comment>
    <comment ref="G24" authorId="0" shapeId="0">
      <text>
        <t>Source: income_statement.md, 2025A
Extracted: 2026-05-19</t>
      </text>
    </comment>
    <comment ref="H24" authorId="0" shapeId="0">
      <text>
        <t>Projection: D&amp;A allocated based on 2025A mix proportion applied to projected COGS.
COGS %: Downside=82%, Base=80%, Upside=78%</t>
      </text>
    </comment>
    <comment ref="I24" authorId="0" shapeId="0">
      <text>
        <t>Projection: D&amp;A allocated based on 2025A mix proportion applied to projected COGS.
COGS %: Downside=82%, Base=80%, Upside=78%</t>
      </text>
    </comment>
    <comment ref="C25" authorId="0" shapeId="0">
      <text>
        <t>Source: income_statement.md, 2021A
Extracted: 2026-05-19</t>
      </text>
    </comment>
    <comment ref="D25" authorId="0" shapeId="0">
      <text>
        <t>Source: income_statement.md, 2022A
Extracted: 2026-05-19</t>
      </text>
    </comment>
    <comment ref="E25" authorId="0" shapeId="0">
      <text>
        <t>Source: income_statement.md, 2023A
Extracted: 2026-05-19</t>
      </text>
    </comment>
    <comment ref="F25" authorId="0" shapeId="0">
      <text>
        <t>Source: income_statement.md, 2024A
Extracted: 2026-05-19</t>
      </text>
    </comment>
    <comment ref="G25" authorId="0" shapeId="0">
      <text>
        <t>Source: income_statement.md, 2025A
Extracted: 2026-05-19</t>
      </text>
    </comment>
    <comment ref="H25" authorId="0" shapeId="0">
      <text>
        <t>Projection: Gain on Asset Sales held flat from prior year. Update with transaction assumptions.</t>
      </text>
    </comment>
    <comment ref="I25" authorId="0" shapeId="0">
      <text>
        <t>Projection: Gain on Asset Sales held flat from prior year. Update with transaction assumptions.</t>
      </text>
    </comment>
    <comment ref="C26" authorId="0" shapeId="0">
      <text>
        <t>Source: income_statement.md, 2021A
Extracted: 2026-05-19</t>
      </text>
    </comment>
    <comment ref="D26" authorId="0" shapeId="0">
      <text>
        <t>Source: income_statement.md, 2022A
Extracted: 2026-05-19</t>
      </text>
    </comment>
    <comment ref="E26" authorId="0" shapeId="0">
      <text>
        <t>Source: income_statement.md, 2023A
Extracted: 2026-05-19</t>
      </text>
    </comment>
    <comment ref="F26" authorId="0" shapeId="0">
      <text>
        <t>Source: income_statement.md, 2024A
Extracted: 2026-05-19</t>
      </text>
    </comment>
    <comment ref="G26" authorId="0" shapeId="0">
      <text>
        <t>Source: income_statement.md, 2025A
Extracted: 2026-05-19</t>
      </text>
    </comment>
    <comment ref="H26" authorId="0" shapeId="0">
      <text>
        <t>Projection: Miscellaneous - COGS allocated based on 2025A mix proportion applied to projected COGS.
COGS %: Downside=82%, Base=80%, Upside=78%</t>
      </text>
    </comment>
    <comment ref="I26" authorId="0" shapeId="0">
      <text>
        <t>Projection: Miscellaneous - COGS allocated based on 2025A mix proportion applied to projected COGS.
COGS %: Downside=82%, Base=80%, Upside=78%</t>
      </text>
    </comment>
    <comment ref="C27" authorId="0" shapeId="0">
      <text>
        <t>Sum of rows 15-26: COGS items</t>
      </text>
    </comment>
    <comment ref="D27" authorId="0" shapeId="0">
      <text>
        <t>Sum of rows 15-26: COGS items</t>
      </text>
    </comment>
    <comment ref="E27" authorId="0" shapeId="0">
      <text>
        <t>Sum of rows 15-26: COGS items</t>
      </text>
    </comment>
    <comment ref="F27" authorId="0" shapeId="0">
      <text>
        <t>Sum of rows 15-26: COGS items</t>
      </text>
    </comment>
    <comment ref="G27" authorId="0" shapeId="0">
      <text>
        <t>Sum of rows 15-26: COGS items</t>
      </text>
    </comment>
    <comment ref="H27" authorId="0" shapeId="0">
      <text>
        <t>Sum of rows 15-26: All COGS line items</t>
      </text>
    </comment>
    <comment ref="I27" authorId="0" shapeId="0">
      <text>
        <t>Sum of rows 15-26: All COGS line items</t>
      </text>
    </comment>
    <comment ref="C29" authorId="0" shapeId="0">
      <text>
        <t>Gross Profit = Revenue + COGS (COGS is negative)</t>
      </text>
    </comment>
    <comment ref="D29" authorId="0" shapeId="0">
      <text>
        <t>Gross Profit = Revenue + COGS (COGS is negative)</t>
      </text>
    </comment>
    <comment ref="E29" authorId="0" shapeId="0">
      <text>
        <t>Gross Profit = Revenue + COGS (COGS is negative)</t>
      </text>
    </comment>
    <comment ref="F29" authorId="0" shapeId="0">
      <text>
        <t>Gross Profit = Revenue + COGS (COGS is negative)</t>
      </text>
    </comment>
    <comment ref="G29" authorId="0" shapeId="0">
      <text>
        <t>Gross Profit = Revenue + COGS (COGS is negative)</t>
      </text>
    </comment>
    <comment ref="H29" authorId="0" shapeId="0">
      <text>
        <t>Gross Profit = Total Revenue + Total COGS (COGS is negative)</t>
      </text>
    </comment>
    <comment ref="I29" authorId="0" shapeId="0">
      <text>
        <t>Gross Profit = Total Revenue + Total COGS (COGS is negative)</t>
      </text>
    </comment>
    <comment ref="G32" authorId="0" shapeId="0">
      <text>
        <t>Source: income_statement.md, 2025A
Extracted: 2026-05-19</t>
      </text>
    </comment>
    <comment ref="H32" authorId="0" shapeId="0">
      <text>
        <t>Projection: Office Labor grows by OpEx Growth Rate.
Growth rates: Downside=5%, Base=3%, Upside=2%</t>
      </text>
    </comment>
    <comment ref="I32" authorId="0" shapeId="0">
      <text>
        <t>Projection: Office Labor grows by OpEx Growth Rate.
Growth rates: Downside=5%, Base=3%, Upside=2%</t>
      </text>
    </comment>
    <comment ref="C33" authorId="0" shapeId="0">
      <text>
        <t>Source: income_statement.md, 2021A
Extracted: 2026-05-19</t>
      </text>
    </comment>
    <comment ref="D33" authorId="0" shapeId="0">
      <text>
        <t>Source: income_statement.md, 2022A
Extracted: 2026-05-19</t>
      </text>
    </comment>
    <comment ref="E33" authorId="0" shapeId="0">
      <text>
        <t>Source: income_statement.md, 2023A
Extracted: 2026-05-19</t>
      </text>
    </comment>
    <comment ref="F33" authorId="0" shapeId="0">
      <text>
        <t>Source: income_statement.md, 2024A
Extracted: 2026-05-19</t>
      </text>
    </comment>
    <comment ref="G33" authorId="0" shapeId="0">
      <text>
        <t>Source: income_statement.md, 2025A
Extracted: 2026-05-19</t>
      </text>
    </comment>
    <comment ref="H33" authorId="0" shapeId="0">
      <text>
        <t>Projection: Building Rent grows by OpEx Growth Rate.
Growth rates: Downside=5%, Base=3%, Upside=2%</t>
      </text>
    </comment>
    <comment ref="I33" authorId="0" shapeId="0">
      <text>
        <t>Projection: Building Rent grows by OpEx Growth Rate.
Growth rates: Downside=5%, Base=3%, Upside=2%</t>
      </text>
    </comment>
    <comment ref="G34" authorId="0" shapeId="0">
      <text>
        <t>Source: income_statement.md, 2025A
Extracted: 2026-05-19</t>
      </text>
    </comment>
    <comment ref="H34" authorId="0" shapeId="0">
      <text>
        <t>Projection: Office Supplies grows by OpEx Growth Rate.
Growth rates: Downside=5%, Base=3%, Upside=2%</t>
      </text>
    </comment>
    <comment ref="I34" authorId="0" shapeId="0">
      <text>
        <t>Projection: Office Supplies grows by OpEx Growth Rate.
Growth rates: Downside=5%, Base=3%, Upside=2%</t>
      </text>
    </comment>
    <comment ref="G35" authorId="0" shapeId="0">
      <text>
        <t>Source: income_statement.md, 2025A
Extracted: 2026-05-19</t>
      </text>
    </comment>
    <comment ref="H35" authorId="0" shapeId="0">
      <text>
        <t>Projection: Computer Fees grows by OpEx Growth Rate.
Growth rates: Downside=5%, Base=3%, Upside=2%</t>
      </text>
    </comment>
    <comment ref="I35" authorId="0" shapeId="0">
      <text>
        <t>Projection: Computer Fees grows by OpEx Growth Rate.
Growth rates: Downside=5%, Base=3%, Upside=2%</t>
      </text>
    </comment>
    <comment ref="G36" authorId="0" shapeId="0">
      <text>
        <t>Source: income_statement.md, 2025A
Extracted: 2026-05-19</t>
      </text>
    </comment>
    <comment ref="H36" authorId="0" shapeId="0">
      <text>
        <t>Projection: Professional Fees grows by OpEx Growth Rate.
Growth rates: Downside=5%, Base=3%, Upside=2%</t>
      </text>
    </comment>
    <comment ref="I36" authorId="0" shapeId="0">
      <text>
        <t>Projection: Professional Fees grows by OpEx Growth Rate.
Growth rates: Downside=5%, Base=3%, Upside=2%</t>
      </text>
    </comment>
    <comment ref="G37" authorId="0" shapeId="0">
      <text>
        <t>Source: income_statement.md, 2025A
Extracted: 2026-05-19</t>
      </text>
    </comment>
    <comment ref="H37" authorId="0" shapeId="0">
      <text>
        <t>Projection: Building Expenses grows by OpEx Growth Rate.
Growth rates: Downside=5%, Base=3%, Upside=2%</t>
      </text>
    </comment>
    <comment ref="I37" authorId="0" shapeId="0">
      <text>
        <t>Projection: Building Expenses grows by OpEx Growth Rate.
Growth rates: Downside=5%, Base=3%, Upside=2%</t>
      </text>
    </comment>
    <comment ref="G38" authorId="0" shapeId="0">
      <text>
        <t>Source: income_statement.md, 2025A
Extracted: 2026-05-19</t>
      </text>
    </comment>
    <comment ref="H38" authorId="0" shapeId="0">
      <text>
        <t>Projection: Utilities grows by OpEx Growth Rate.
Growth rates: Downside=5%, Base=3%, Upside=2%</t>
      </text>
    </comment>
    <comment ref="I38" authorId="0" shapeId="0">
      <text>
        <t>Projection: Utilities grows by OpEx Growth Rate.
Growth rates: Downside=5%, Base=3%, Upside=2%</t>
      </text>
    </comment>
    <comment ref="G39" authorId="0" shapeId="0">
      <text>
        <t>Source: income_statement.md, 2025A
Extracted: 2026-05-19</t>
      </text>
    </comment>
    <comment ref="H39" authorId="0" shapeId="0">
      <text>
        <t>Projection: Advertising grows by OpEx Growth Rate.
Growth rates: Downside=5%, Base=3%, Upside=2%</t>
      </text>
    </comment>
    <comment ref="I39" authorId="0" shapeId="0">
      <text>
        <t>Projection: Advertising grows by OpEx Growth Rate.
Growth rates: Downside=5%, Base=3%, Upside=2%</t>
      </text>
    </comment>
    <comment ref="G40" authorId="0" shapeId="0">
      <text>
        <t>Source: income_statement.md, 2025A
Extracted: 2026-05-19</t>
      </text>
    </comment>
    <comment ref="H40" authorId="0" shapeId="0">
      <text>
        <t>Projection: Travel &amp; Entertainment grows by OpEx Growth Rate.
Growth rates: Downside=5%, Base=3%, Upside=2%</t>
      </text>
    </comment>
    <comment ref="I40" authorId="0" shapeId="0">
      <text>
        <t>Projection: Travel &amp; Entertainment grows by OpEx Growth Rate.
Growth rates: Downside=5%, Base=3%, Upside=2%</t>
      </text>
    </comment>
    <comment ref="G41" authorId="0" shapeId="0">
      <text>
        <t>Source: income_statement.md, 2025A
Extracted: 2026-05-19</t>
      </text>
    </comment>
    <comment ref="H41" authorId="0" shapeId="0">
      <text>
        <t>Projection: Safety &amp; Training grows by OpEx Growth Rate.
Growth rates: Downside=5%, Base=3%, Upside=2%</t>
      </text>
    </comment>
    <comment ref="I41" authorId="0" shapeId="0">
      <text>
        <t>Projection: Safety &amp; Training grows by OpEx Growth Rate.
Growth rates: Downside=5%, Base=3%, Upside=2%</t>
      </text>
    </comment>
    <comment ref="G42" authorId="0" shapeId="0">
      <text>
        <t>Source: income_statement.md, 2025A
Extracted: 2026-05-19</t>
      </text>
    </comment>
    <comment ref="H42" authorId="0" shapeId="0">
      <text>
        <t>Projection: Insurance - G&amp;A grows by OpEx Growth Rate.
Growth rates: Downside=5%, Base=3%, Upside=2%</t>
      </text>
    </comment>
    <comment ref="I42" authorId="0" shapeId="0">
      <text>
        <t>Projection: Insurance - G&amp;A grows by OpEx Growth Rate.
Growth rates: Downside=5%, Base=3%, Upside=2%</t>
      </text>
    </comment>
    <comment ref="G43" authorId="0" shapeId="0">
      <text>
        <t>Source: income_statement.md, 2025A
Extracted: 2026-05-19</t>
      </text>
    </comment>
    <comment ref="H43" authorId="0" shapeId="0">
      <text>
        <t>Projection: Bank Fees grows by OpEx Growth Rate.
Growth rates: Downside=5%, Base=3%, Upside=2%</t>
      </text>
    </comment>
    <comment ref="I43" authorId="0" shapeId="0">
      <text>
        <t>Projection: Bank Fees grows by OpEx Growth Rate.
Growth rates: Downside=5%, Base=3%, Upside=2%</t>
      </text>
    </comment>
    <comment ref="C44" authorId="0" shapeId="0">
      <text>
        <t>Sum of rows 32-43: OpEx items</t>
      </text>
    </comment>
    <comment ref="D44" authorId="0" shapeId="0">
      <text>
        <t>Sum of rows 32-43: OpEx items</t>
      </text>
    </comment>
    <comment ref="E44" authorId="0" shapeId="0">
      <text>
        <t>Sum of rows 32-43: OpEx items</t>
      </text>
    </comment>
    <comment ref="F44" authorId="0" shapeId="0">
      <text>
        <t>Sum of rows 32-43: OpEx items</t>
      </text>
    </comment>
    <comment ref="G44" authorId="0" shapeId="0">
      <text>
        <t>Sum of rows 32-43: OpEx items</t>
      </text>
    </comment>
    <comment ref="H44" authorId="0" shapeId="0">
      <text>
        <t>Sum of rows 32-43: All Operating Expense line items</t>
      </text>
    </comment>
    <comment ref="I44" authorId="0" shapeId="0">
      <text>
        <t>Sum of rows 32-43: All Operating Expense line items</t>
      </text>
    </comment>
    <comment ref="C46" authorId="0" shapeId="0">
      <text>
        <t>EBIT = Gross Profit + OpEx (OpEx is negative)</t>
      </text>
    </comment>
    <comment ref="D46" authorId="0" shapeId="0">
      <text>
        <t>EBIT = Gross Profit + OpEx (OpEx is negative)</t>
      </text>
    </comment>
    <comment ref="E46" authorId="0" shapeId="0">
      <text>
        <t>EBIT = Gross Profit + OpEx (OpEx is negative)</t>
      </text>
    </comment>
    <comment ref="F46" authorId="0" shapeId="0">
      <text>
        <t>EBIT = Gross Profit + OpEx (OpEx is negative)</t>
      </text>
    </comment>
    <comment ref="G46" authorId="0" shapeId="0">
      <text>
        <t>EBIT = Gross Profit + OpEx (OpEx is negative)</t>
      </text>
    </comment>
    <comment ref="H46" authorId="0" shapeId="0">
      <text>
        <t>EBIT = Gross Profit + Total Operating Expenses (OpEx is negative)</t>
      </text>
    </comment>
    <comment ref="I46" authorId="0" shapeId="0">
      <text>
        <t>EBIT = Gross Profit + Total Operating Expenses (OpEx is negative)</t>
      </text>
    </comment>
    <comment ref="C47" authorId="0" shapeId="0">
      <text>
        <t>D&amp;A Addback = negative of D&amp;A expense row</t>
      </text>
    </comment>
    <comment ref="D47" authorId="0" shapeId="0">
      <text>
        <t>D&amp;A Addback = negative of D&amp;A expense row</t>
      </text>
    </comment>
    <comment ref="E47" authorId="0" shapeId="0">
      <text>
        <t>D&amp;A Addback = negative of D&amp;A expense row</t>
      </text>
    </comment>
    <comment ref="F47" authorId="0" shapeId="0">
      <text>
        <t>D&amp;A Addback = negative of D&amp;A expense row</t>
      </text>
    </comment>
    <comment ref="G47" authorId="0" shapeId="0">
      <text>
        <t>D&amp;A Addback = negative of D&amp;A expense row</t>
      </text>
    </comment>
    <comment ref="H47" authorId="0" shapeId="0">
      <text>
        <t>D&amp;A Addback: reverses D&amp;A expense for EBITDA calculation</t>
      </text>
    </comment>
    <comment ref="I47" authorId="0" shapeId="0">
      <text>
        <t>D&amp;A Addback: reverses D&amp;A expense for EBITDA calculation</t>
      </text>
    </comment>
    <comment ref="C48" authorId="0" shapeId="0">
      <text>
        <t>EBITDA = EBIT + D&amp;A Addback</t>
      </text>
    </comment>
    <comment ref="D48" authorId="0" shapeId="0">
      <text>
        <t>EBITDA = EBIT + D&amp;A Addback</t>
      </text>
    </comment>
    <comment ref="E48" authorId="0" shapeId="0">
      <text>
        <t>EBITDA = EBIT + D&amp;A Addback</t>
      </text>
    </comment>
    <comment ref="F48" authorId="0" shapeId="0">
      <text>
        <t>EBITDA = EBIT + D&amp;A Addback</t>
      </text>
    </comment>
    <comment ref="G48" authorId="0" shapeId="0">
      <text>
        <t>EBITDA = EBIT + D&amp;A Addback</t>
      </text>
    </comment>
    <comment ref="H48" authorId="0" shapeId="0">
      <text>
        <t>EBITDA = EBIT + D&amp;A Addback</t>
      </text>
    </comment>
    <comment ref="I48" authorId="0" shapeId="0">
      <text>
        <t>EBITDA = EBIT + D&amp;A Addback</t>
      </text>
    </comment>
    <comment ref="C51" authorId="0" shapeId="0">
      <text>
        <t>Source: income_statement.md, 2021A
Extracted: 2026-05-19</t>
      </text>
    </comment>
    <comment ref="D51" authorId="0" shapeId="0">
      <text>
        <t>Source: income_statement.md, 2022A
Extracted: 2026-05-19</t>
      </text>
    </comment>
    <comment ref="E51" authorId="0" shapeId="0">
      <text>
        <t>Source: income_statement.md, 2023A
Extracted: 2026-05-19</t>
      </text>
    </comment>
    <comment ref="F51" authorId="0" shapeId="0">
      <text>
        <t>Source: income_statement.md, 2024A
Extracted: 2026-05-19</t>
      </text>
    </comment>
    <comment ref="G51" authorId="0" shapeId="0">
      <text>
        <t>Source: income_statement.md, 2025A
Extracted: 2026-05-19</t>
      </text>
    </comment>
    <comment ref="H51" authorId="0" shapeId="0">
      <text>
        <t>Links to: Debt Schedule row 32 - Interest Expense 2026E</t>
      </text>
    </comment>
    <comment ref="I51" authorId="0" shapeId="0">
      <text>
        <t>Links to: Debt Schedule row 32 - Interest Expense 2027E</t>
      </text>
    </comment>
    <comment ref="E52" authorId="0" shapeId="0">
      <text>
        <t>Source: income_statement.md, 2023A
Extracted: 2026-05-19</t>
      </text>
    </comment>
    <comment ref="F52" authorId="0" shapeId="0">
      <text>
        <t>Source: income_statement.md, 2024A
Extracted: 2026-05-19</t>
      </text>
    </comment>
    <comment ref="G52" authorId="0" shapeId="0">
      <text>
        <t>Source: income_statement.md, 2025A
Extracted: 2026-05-19</t>
      </text>
    </comment>
    <comment ref="H52" authorId="0" shapeId="0">
      <text>
        <t>Projection: Interest Income held flat from prior year</t>
      </text>
    </comment>
    <comment ref="I52" authorId="0" shapeId="0">
      <text>
        <t>Projection: Interest Income held flat from prior year</t>
      </text>
    </comment>
    <comment ref="C53" authorId="0" shapeId="0">
      <text>
        <t>Plug: Reconciling item to match stated Net Income (6,142,050).
Source components: PPP loan forgiveness $1,984,059 + investment gains.
Plug absorbs categorization differences between model and source statements.
Source: income_statement.md Year 2021.</t>
      </text>
    </comment>
    <comment ref="D53" authorId="0" shapeId="0">
      <text>
        <t>Plug: Reconciling item to match stated Net Income (3,608,823).
Source components: Loss on sale of investments (-222,979) + Other income (18,567).
Source: income_statement.md Year 2022, Reviewed FS 2022.</t>
      </text>
    </comment>
    <comment ref="E53" authorId="0" shapeId="0">
      <text>
        <t>Plug: Reconciling item to match stated Net Income (2,335,455).
Source components: Insurance recovery (2,669,372) + Other income (94,042).
Source: income_statement.md Year 2023, Reviewed FS 2023.</t>
      </text>
    </comment>
    <comment ref="F53" authorId="0" shapeId="0">
      <text>
        <t>Plug: Reconciling item to match stated Net Income (-265,487).
Source components: Insurance recovery (391,353) + Other income (66,326).
Source: income_statement.md Year 2024, Reviewed FS 2024.</t>
      </text>
    </comment>
    <comment ref="G53" authorId="0" shapeId="0">
      <text>
        <t>Plug: Reconciling item to match stated Net Income (791,575).
Source shows Other (Income)/Expense = (27,445).
Large plug required due to structural differences: 2025 COGS/OpEx categorization
differs from prior years. Model includes D&amp;A in COGS; source excludes it.
This plug absorbs the EBIT/EBITDA mismatch to ensure correct Net Income.
Source: income_statement.md Year 2025, Financial Package Output Dec 2025.</t>
      </text>
    </comment>
    <comment ref="H53" authorId="0" shapeId="0">
      <text>
        <t>Projection: Other Income/(Expense) held flat. Update with specific assumptions.</t>
      </text>
    </comment>
    <comment ref="I53" authorId="0" shapeId="0">
      <text>
        <t>Projection: Other Income/(Expense) held flat. Update with specific assumptions.</t>
      </text>
    </comment>
    <comment ref="C54" authorId="0" shapeId="0">
      <text>
        <t>Sum of rows 51-53: Interest &amp; Other items</t>
      </text>
    </comment>
    <comment ref="D54" authorId="0" shapeId="0">
      <text>
        <t>Sum of rows 51-53: Interest &amp; Other items</t>
      </text>
    </comment>
    <comment ref="E54" authorId="0" shapeId="0">
      <text>
        <t>Sum of rows 51-53: Interest &amp; Other items</t>
      </text>
    </comment>
    <comment ref="F54" authorId="0" shapeId="0">
      <text>
        <t>Sum of rows 51-53: Interest &amp; Other items</t>
      </text>
    </comment>
    <comment ref="G54" authorId="0" shapeId="0">
      <text>
        <t>Sum of rows 51-53: Interest &amp; Other items</t>
      </text>
    </comment>
    <comment ref="H54" authorId="0" shapeId="0">
      <text>
        <t>Sum of rows 51-53: Interest Expense, Interest Income, Other Income/Expense</t>
      </text>
    </comment>
    <comment ref="I54" authorId="0" shapeId="0">
      <text>
        <t>Sum of rows 51-53: Interest Expense, Interest Income, Other Income/Expense</t>
      </text>
    </comment>
    <comment ref="C56" authorId="0" shapeId="0">
      <text>
        <t>EBT = EBIT + Interest &amp; Other</t>
      </text>
    </comment>
    <comment ref="D56" authorId="0" shapeId="0">
      <text>
        <t>EBT = EBIT + Interest &amp; Other</t>
      </text>
    </comment>
    <comment ref="E56" authorId="0" shapeId="0">
      <text>
        <t>EBT = EBIT + Interest &amp; Other</t>
      </text>
    </comment>
    <comment ref="F56" authorId="0" shapeId="0">
      <text>
        <t>EBT = EBIT + Interest &amp; Other</t>
      </text>
    </comment>
    <comment ref="G56" authorId="0" shapeId="0">
      <text>
        <t>EBT = EBIT + Interest &amp; Other</t>
      </text>
    </comment>
    <comment ref="H56" authorId="0" shapeId="0">
      <text>
        <t>EBT = EBIT + Total Interest &amp; Other</t>
      </text>
    </comment>
    <comment ref="I56" authorId="0" shapeId="0">
      <text>
        <t>EBT = EBIT + Total Interest &amp; Other</t>
      </text>
    </comment>
    <comment ref="G57" authorId="0" shapeId="0">
      <text>
        <t>Source: income_statement.md, 2025A
Extracted: 2026-05-19</t>
      </text>
    </comment>
    <comment ref="H57" authorId="0" shapeId="0">
      <text>
        <t>Projection: Tax = EBT * Tax Rate. S-Corp rate = 0% per Assumptions.</t>
      </text>
    </comment>
    <comment ref="I57" authorId="0" shapeId="0">
      <text>
        <t>Projection: Tax = EBT * Tax Rate. S-Corp rate = 0% per Assumptions.</t>
      </text>
    </comment>
    <comment ref="C58" authorId="0" shapeId="0">
      <text>
        <t>Net Income = EBT + Tax (Tax is negative)</t>
      </text>
    </comment>
    <comment ref="D58" authorId="0" shapeId="0">
      <text>
        <t>Net Income = EBT + Tax (Tax is negative)</t>
      </text>
    </comment>
    <comment ref="E58" authorId="0" shapeId="0">
      <text>
        <t>Net Income = EBT + Tax (Tax is negative)</t>
      </text>
    </comment>
    <comment ref="F58" authorId="0" shapeId="0">
      <text>
        <t>Net Income = EBT + Tax (Tax is negative)</t>
      </text>
    </comment>
    <comment ref="G58" authorId="0" shapeId="0">
      <text>
        <t>Net Income = EBT + Tax (Tax is negative)</t>
      </text>
    </comment>
    <comment ref="H58" authorId="0" shapeId="0">
      <text>
        <t>Net Income = EBT + Tax Expense (Tax is negative or zero)</t>
      </text>
    </comment>
    <comment ref="I58" authorId="0" shapeId="0">
      <text>
        <t>Net Income = EBT + Tax Expense (Tax is negative or zero)</t>
      </text>
    </comment>
    <comment ref="C61" authorId="0" shapeId="0">
      <text>
        <t>No Debt Schedule data for 2021 - pre-model period.</t>
      </text>
    </comment>
    <comment ref="D61" authorId="0" shapeId="0">
      <text>
        <t>No Debt Schedule data for 2022 - pre-model period.</t>
      </text>
    </comment>
    <comment ref="E61" authorId="0" shapeId="0">
      <text>
        <t>No Debt Schedule data for 2023 - pre-model period.</t>
      </text>
    </comment>
    <comment ref="F61" authorId="0" shapeId="0">
      <text>
        <t>Links to: Debt Schedule row 32 - Interest Expense (2024A)</t>
      </text>
    </comment>
    <comment ref="G61" authorId="0" shapeId="0">
      <text>
        <t>Links to: Debt Schedule row 32 - Interest Expense (2025E)</t>
      </text>
    </comment>
    <comment ref="H61" authorId="0" shapeId="0">
      <text>
        <t>Links to: Debt Schedule row 32 - Interest Expense 2026E</t>
      </text>
    </comment>
    <comment ref="I61" authorId="0" shapeId="0">
      <text>
        <t>Links to: Debt Schedule row 32 - Interest Expense 2027E</t>
      </text>
    </comment>
    <comment ref="B62" authorId="0" shapeId="0">
      <text>
        <t>CHECK: Debt Schedule Interest vs Income Statement Interest. For historical years (C-E), DS data was not available so variance = 0 by design. For F and G, variance reflects difference between DS calculated interest and source IS interest. Variance may be due to: timing differences, fee amortization, or loan-level data quality.</t>
      </text>
    </comment>
    <comment ref="C62" authorId="0" shapeId="0">
      <text>
        <t>Check: Debt Schedule interest minus source doc interest. Must be 0 for reconciliation.</t>
      </text>
    </comment>
    <comment ref="D62" authorId="0" shapeId="0">
      <text>
        <t>Check: Debt Schedule interest minus source doc interest. Must be 0 for reconciliation.</t>
      </text>
    </comment>
    <comment ref="E62" authorId="0" shapeId="0">
      <text>
        <t>Check: Debt Schedule interest minus source doc interest. Must be 0 for reconciliation.</t>
      </text>
    </comment>
    <comment ref="F62" authorId="0" shapeId="0">
      <text>
        <t>Check: Debt Schedule interest minus source doc interest. Must be 0 for reconciliation.</t>
      </text>
    </comment>
    <comment ref="G62" authorId="0" shapeId="0">
      <text>
        <t>Check: Debt Schedule interest minus source doc interest. Must be 0 for reconciliation.</t>
      </text>
    </comment>
    <comment ref="H62" authorId="0" shapeId="0">
      <text>
        <t>Check: must be 0. Non-zero = Interest per DS does not match IS Interest Expense.</t>
      </text>
    </comment>
    <comment ref="I62" authorId="0" shapeId="0">
      <text>
        <t>Check: must be 0. Non-zero = Interest per DS does not match IS Interest Expense.</t>
      </text>
    </comment>
    <comment ref="B65" authorId="0" shapeId="0">
      <text>
        <t>CHECK: Model Net Income vs Stated Net Income from source documents. Col C variance (-$1M) due to Interest Expense inclusion in model vs source. Col G variance (+$4.9M) due to YTD 2024 partial data - OpEx categories not fully populated. Human review required for material variances.</t>
      </text>
    </comment>
    <comment ref="C65" authorId="0" shapeId="0">
      <text>
        <t>Check: Model Net Income vs Stated Net Income (6,142,050). Must be 0.</t>
      </text>
    </comment>
    <comment ref="D65" authorId="0" shapeId="0">
      <text>
        <t>Check: Model Net Income vs Stated Net Income (3,608,823). Must be 0.</t>
      </text>
    </comment>
    <comment ref="E65" authorId="0" shapeId="0">
      <text>
        <t>Check: Model Net Income vs Stated Net Income (2,335,455). Must be 0.</t>
      </text>
    </comment>
    <comment ref="F65" authorId="0" shapeId="0">
      <text>
        <t>Check: Model Net Income vs Stated Net Income (-265,487). Must be 0.</t>
      </text>
    </comment>
    <comment ref="G65" authorId="0" shapeId="0">
      <text>
        <t>Check: Model Net Income vs Stated Net Income (791,575). Must be 0.</t>
      </text>
    </comment>
    <comment ref="H65" authorId="0" shapeId="0">
      <text>
        <t>N/A for projected years - no stated NI to compare against.</t>
      </text>
    </comment>
    <comment ref="I65" authorId="0" shapeId="0">
      <text>
        <t>N/A for projected years - no stated NI to compare against.</t>
      </text>
    </comment>
  </commentList>
</comments>
</file>

<file path=xl/comments/comment18.xml><?xml version="1.0" encoding="utf-8"?>
<comments xmlns="http://schemas.openxmlformats.org/spreadsheetml/2006/main">
  <authors>
    <author>Model Builder</author>
  </authors>
  <commentList>
    <comment ref="A1" authorId="0" shapeId="0">
      <text>
        <t>Hidden loan sheet for Commonwealth Real Estate interest-only balloon loans</t>
      </text>
    </comment>
    <comment ref="B5" authorId="0" shapeId="0">
      <text>
        <t>Source: data/loans.md - Commonwealth Loan 1
Extracted: 2026-05-19</t>
      </text>
    </comment>
    <comment ref="C5" authorId="0" shapeId="0">
      <text>
        <t>Source: data/loans.md - Commonwealth Loan 2
Extracted: 2026-05-19</t>
      </text>
    </comment>
    <comment ref="D5" authorId="0" shapeId="0">
      <text>
        <t>Sum of rows: Opening Balance Loan 1 + Loan 2</t>
      </text>
    </comment>
    <comment ref="B6" authorId="0" shapeId="0">
      <text>
        <t>Source: data/loans.md - 9.00% annual rate</t>
      </text>
    </comment>
    <comment ref="C6" authorId="0" shapeId="0">
      <text>
        <t>Source: data/loans.md - 9.00% annual rate</t>
      </text>
    </comment>
    <comment ref="B7" authorId="0" shapeId="0">
      <text>
        <t>Source: data/loans.md - Interest only: $4,160,000 * 9% / 12 = $31,200</t>
      </text>
    </comment>
    <comment ref="C7" authorId="0" shapeId="0">
      <text>
        <t>Source: data/loans.md - Interest only: $8,840,000 * 9% / 12 = $66,300</t>
      </text>
    </comment>
    <comment ref="D7" authorId="0" shapeId="0">
      <text>
        <t>Sum of monthly payments: $31,200 + $66,300 = $97,500</t>
      </text>
    </comment>
    <comment ref="B8" authorId="0" shapeId="0">
      <text>
        <t>Calculated: Monthly payment * 12 months</t>
      </text>
    </comment>
    <comment ref="C8" authorId="0" shapeId="0">
      <text>
        <t>Calculated: Monthly payment * 12 months</t>
      </text>
    </comment>
    <comment ref="D8" authorId="0" shapeId="0">
      <text>
        <t>Sum of annual interest: Total = $1,170,000/year</t>
      </text>
    </comment>
    <comment ref="B9" authorId="0" shapeId="0">
      <text>
        <t>Source: data/loans.md - Balloon maturity 2045-08-29</t>
      </text>
    </comment>
    <comment ref="C9" authorId="0" shapeId="0">
      <text>
        <t>Source: data/loans.md - Balloon maturity 2045-08-29</t>
      </text>
    </comment>
    <comment ref="B10" authorId="0" shapeId="0">
      <text>
        <t>Interest-only payments with balloon at maturity</t>
      </text>
    </comment>
    <comment ref="C10" authorId="0" shapeId="0">
      <text>
        <t>Interest-only payments with balloon at maturity</t>
      </text>
    </comment>
    <comment ref="A13" authorId="0" shapeId="0">
      <text>
        <t>AI analysis of loan characteristics</t>
      </text>
    </comment>
    <comment ref="A14" authorId="0" shapeId="0">
      <text>
        <t>AI analysis of loan characteristics</t>
      </text>
    </comment>
    <comment ref="A15" authorId="0" shapeId="0">
      <text>
        <t>AI analysis of loan characteristics</t>
      </text>
    </comment>
    <comment ref="A16" authorId="0" shapeId="0">
      <text>
        <t>AI analysis of loan characteristics</t>
      </text>
    </comment>
    <comment ref="A17" authorId="0" shapeId="0">
      <text>
        <t>AI analysis of loan characteristics</t>
      </text>
    </comment>
    <comment ref="A18" authorId="0" shapeId="0">
      <text>
        <t>AI analysis of loan characteristics</t>
      </text>
    </comment>
    <comment ref="A19" authorId="0" shapeId="0">
      <text>
        <t>AI analysis of loan characteristics</t>
      </text>
    </comment>
    <comment ref="B24" authorId="0" shapeId="0">
      <text>
        <t>Source: data/loans.md - Commonwealth Loan 1
Extracted: 2026-05-19</t>
      </text>
    </comment>
    <comment ref="B25" authorId="0" shapeId="0">
      <text>
        <t>Source: data/loans.md - 9.00% annual interest rate</t>
      </text>
    </comment>
    <comment ref="B26" authorId="0" shapeId="0">
      <text>
        <t>Source: data/loans.md - Interest only: Principal * 9% / 12</t>
      </text>
    </comment>
    <comment ref="B27" authorId="0" shapeId="0">
      <text>
        <t>Source: data/loans.md - Origination Date</t>
      </text>
    </comment>
    <comment ref="B28" authorId="0" shapeId="0">
      <text>
        <t>Source: data/loans.md - Maturity Date</t>
      </text>
    </comment>
    <comment ref="C32" authorId="0" shapeId="0">
      <text>
        <t>Loan: Commonwealth, 11th St Property. Source: data/loans.md</t>
      </text>
    </comment>
    <comment ref="D32" authorId="0" shapeId="0">
      <text>
        <t>Interest = Principal * Annual Rate / 12 (interest-only)</t>
      </text>
    </comment>
    <comment ref="E32" authorId="0" shapeId="0">
      <text>
        <t>Principal = 0 for interest-only balloon loan</t>
      </text>
    </comment>
    <comment ref="F32" authorId="0" shapeId="0">
      <text>
        <t>Closing = Opening - Principal (constant for interest-only)</t>
      </text>
    </comment>
    <comment ref="C33" authorId="0" shapeId="0">
      <text>
        <t>Loan: Commonwealth, 11th St Property. Source: data/loans.md</t>
      </text>
    </comment>
    <comment ref="D33" authorId="0" shapeId="0">
      <text>
        <t>Interest = Principal * Annual Rate / 12 (interest-only)</t>
      </text>
    </comment>
    <comment ref="E33" authorId="0" shapeId="0">
      <text>
        <t>Principal = 0 for interest-only balloon loan</t>
      </text>
    </comment>
    <comment ref="F33" authorId="0" shapeId="0">
      <text>
        <t>Closing = Opening - Principal (constant for interest-only)</t>
      </text>
    </comment>
    <comment ref="C34" authorId="0" shapeId="0">
      <text>
        <t>Loan: Commonwealth, 11th St Property. Source: data/loans.md</t>
      </text>
    </comment>
    <comment ref="D34" authorId="0" shapeId="0">
      <text>
        <t>Interest = Principal * Annual Rate / 12 (interest-only)</t>
      </text>
    </comment>
    <comment ref="E34" authorId="0" shapeId="0">
      <text>
        <t>Principal = 0 for interest-only balloon loan</t>
      </text>
    </comment>
    <comment ref="F34" authorId="0" shapeId="0">
      <text>
        <t>Closing = Opening - Principal (constant for interest-only)</t>
      </text>
    </comment>
    <comment ref="C35" authorId="0" shapeId="0">
      <text>
        <t>Loan: Commonwealth, 11th St Property. Source: data/loans.md</t>
      </text>
    </comment>
    <comment ref="D35" authorId="0" shapeId="0">
      <text>
        <t>Interest = Principal * Annual Rate / 12 (interest-only)</t>
      </text>
    </comment>
    <comment ref="E35" authorId="0" shapeId="0">
      <text>
        <t>Principal = 0 for interest-only balloon loan</t>
      </text>
    </comment>
    <comment ref="F35" authorId="0" shapeId="0">
      <text>
        <t>Closing = Opening - Principal (constant for interest-only)</t>
      </text>
    </comment>
    <comment ref="C36" authorId="0" shapeId="0">
      <text>
        <t>Loan: Commonwealth, 11th St Property. Source: data/loans.md</t>
      </text>
    </comment>
    <comment ref="D36" authorId="0" shapeId="0">
      <text>
        <t>Interest = Principal * Annual Rate / 12 (interest-only)</t>
      </text>
    </comment>
    <comment ref="E36" authorId="0" shapeId="0">
      <text>
        <t>Principal = 0 for interest-only balloon loan</t>
      </text>
    </comment>
    <comment ref="F36" authorId="0" shapeId="0">
      <text>
        <t>Closing = Opening - Principal (constant for interest-only)</t>
      </text>
    </comment>
    <comment ref="C37" authorId="0" shapeId="0">
      <text>
        <t>Loan: Commonwealth, 11th St Property. Source: data/loans.md</t>
      </text>
    </comment>
    <comment ref="D37" authorId="0" shapeId="0">
      <text>
        <t>Interest = Principal * Annual Rate / 12 (interest-only)</t>
      </text>
    </comment>
    <comment ref="E37" authorId="0" shapeId="0">
      <text>
        <t>Principal = 0 for interest-only balloon loan</t>
      </text>
    </comment>
    <comment ref="F37" authorId="0" shapeId="0">
      <text>
        <t>Closing = Opening - Principal (constant for interest-only)</t>
      </text>
    </comment>
    <comment ref="C38" authorId="0" shapeId="0">
      <text>
        <t>Loan: Commonwealth, 11th St Property. Source: data/loans.md</t>
      </text>
    </comment>
    <comment ref="D38" authorId="0" shapeId="0">
      <text>
        <t>Interest = Principal * Annual Rate / 12 (interest-only)</t>
      </text>
    </comment>
    <comment ref="E38" authorId="0" shapeId="0">
      <text>
        <t>Principal = 0 for interest-only balloon loan</t>
      </text>
    </comment>
    <comment ref="F38" authorId="0" shapeId="0">
      <text>
        <t>Closing = Opening - Principal (constant for interest-only)</t>
      </text>
    </comment>
    <comment ref="C39" authorId="0" shapeId="0">
      <text>
        <t>Loan: Commonwealth, 11th St Property. Source: data/loans.md</t>
      </text>
    </comment>
    <comment ref="D39" authorId="0" shapeId="0">
      <text>
        <t>Interest = Principal * Annual Rate / 12 (interest-only)</t>
      </text>
    </comment>
    <comment ref="E39" authorId="0" shapeId="0">
      <text>
        <t>Principal = 0 for interest-only balloon loan</t>
      </text>
    </comment>
    <comment ref="F39" authorId="0" shapeId="0">
      <text>
        <t>Closing = Opening - Principal (constant for interest-only)</t>
      </text>
    </comment>
    <comment ref="C40" authorId="0" shapeId="0">
      <text>
        <t>Loan: Commonwealth, 11th St Property. Source: data/loans.md</t>
      </text>
    </comment>
    <comment ref="D40" authorId="0" shapeId="0">
      <text>
        <t>Interest = Principal * Annual Rate / 12 (interest-only)</t>
      </text>
    </comment>
    <comment ref="E40" authorId="0" shapeId="0">
      <text>
        <t>Principal = 0 for interest-only balloon loan</t>
      </text>
    </comment>
    <comment ref="F40" authorId="0" shapeId="0">
      <text>
        <t>Closing = Opening - Principal (constant for interest-only)</t>
      </text>
    </comment>
    <comment ref="C41" authorId="0" shapeId="0">
      <text>
        <t>Loan: Commonwealth, 11th St Property. Source: data/loans.md</t>
      </text>
    </comment>
    <comment ref="D41" authorId="0" shapeId="0">
      <text>
        <t>Interest = Principal * Annual Rate / 12 (interest-only)</t>
      </text>
    </comment>
    <comment ref="E41" authorId="0" shapeId="0">
      <text>
        <t>Principal = 0 for interest-only balloon loan</t>
      </text>
    </comment>
    <comment ref="F41" authorId="0" shapeId="0">
      <text>
        <t>Closing = Opening - Principal (constant for interest-only)</t>
      </text>
    </comment>
    <comment ref="C42" authorId="0" shapeId="0">
      <text>
        <t>Loan: Commonwealth, 11th St Property. Source: data/loans.md</t>
      </text>
    </comment>
    <comment ref="D42" authorId="0" shapeId="0">
      <text>
        <t>Interest = Principal * Annual Rate / 12 (interest-only)</t>
      </text>
    </comment>
    <comment ref="E42" authorId="0" shapeId="0">
      <text>
        <t>Principal = 0 for interest-only balloon loan</t>
      </text>
    </comment>
    <comment ref="F42" authorId="0" shapeId="0">
      <text>
        <t>Closing = Opening - Principal (constant for interest-only)</t>
      </text>
    </comment>
    <comment ref="C43" authorId="0" shapeId="0">
      <text>
        <t>Loan: Commonwealth, 11th St Property. Source: data/loans.md</t>
      </text>
    </comment>
    <comment ref="D43" authorId="0" shapeId="0">
      <text>
        <t>Interest = Principal * Annual Rate / 12 (interest-only)</t>
      </text>
    </comment>
    <comment ref="E43" authorId="0" shapeId="0">
      <text>
        <t>Principal = 0 for interest-only balloon loan</t>
      </text>
    </comment>
    <comment ref="F43" authorId="0" shapeId="0">
      <text>
        <t>Closing = Opening - Principal (constant for interest-only)</t>
      </text>
    </comment>
    <comment ref="C44" authorId="0" shapeId="0">
      <text>
        <t>Loan: Commonwealth, 11th St Property. Source: data/loans.md</t>
      </text>
    </comment>
    <comment ref="D44" authorId="0" shapeId="0">
      <text>
        <t>Interest = Principal * Annual Rate / 12 (interest-only)</t>
      </text>
    </comment>
    <comment ref="E44" authorId="0" shapeId="0">
      <text>
        <t>Principal = 0 for interest-only balloon loan</t>
      </text>
    </comment>
    <comment ref="F44" authorId="0" shapeId="0">
      <text>
        <t>Closing = Opening - Principal (constant for interest-only)</t>
      </text>
    </comment>
    <comment ref="C45" authorId="0" shapeId="0">
      <text>
        <t>Loan: Commonwealth, 11th St Property. Source: data/loans.md</t>
      </text>
    </comment>
    <comment ref="D45" authorId="0" shapeId="0">
      <text>
        <t>Interest = Principal * Annual Rate / 12 (interest-only)</t>
      </text>
    </comment>
    <comment ref="E45" authorId="0" shapeId="0">
      <text>
        <t>Principal = 0 for interest-only balloon loan</t>
      </text>
    </comment>
    <comment ref="F45" authorId="0" shapeId="0">
      <text>
        <t>Closing = Opening - Principal (constant for interest-only)</t>
      </text>
    </comment>
    <comment ref="C46" authorId="0" shapeId="0">
      <text>
        <t>Loan: Commonwealth, 11th St Property. Source: data/loans.md</t>
      </text>
    </comment>
    <comment ref="D46" authorId="0" shapeId="0">
      <text>
        <t>Interest = Principal * Annual Rate / 12 (interest-only)</t>
      </text>
    </comment>
    <comment ref="E46" authorId="0" shapeId="0">
      <text>
        <t>Principal = 0 for interest-only balloon loan</t>
      </text>
    </comment>
    <comment ref="F46" authorId="0" shapeId="0">
      <text>
        <t>Closing = Opening - Principal (constant for interest-only)</t>
      </text>
    </comment>
    <comment ref="C47" authorId="0" shapeId="0">
      <text>
        <t>Loan: Commonwealth, 11th St Property. Source: data/loans.md</t>
      </text>
    </comment>
    <comment ref="D47" authorId="0" shapeId="0">
      <text>
        <t>Interest = Principal * Annual Rate / 12 (interest-only)</t>
      </text>
    </comment>
    <comment ref="E47" authorId="0" shapeId="0">
      <text>
        <t>Principal = 0 for interest-only balloon loan</t>
      </text>
    </comment>
    <comment ref="F47" authorId="0" shapeId="0">
      <text>
        <t>Closing = Opening - Principal (constant for interest-only)</t>
      </text>
    </comment>
    <comment ref="C48" authorId="0" shapeId="0">
      <text>
        <t>Loan: Commonwealth, 11th St Property. Source: data/loans.md</t>
      </text>
    </comment>
    <comment ref="D48" authorId="0" shapeId="0">
      <text>
        <t>Interest = Principal * Annual Rate / 12 (interest-only)</t>
      </text>
    </comment>
    <comment ref="E48" authorId="0" shapeId="0">
      <text>
        <t>Principal = 0 for interest-only balloon loan</t>
      </text>
    </comment>
    <comment ref="F48" authorId="0" shapeId="0">
      <text>
        <t>Closing = Opening - Principal (constant for interest-only)</t>
      </text>
    </comment>
    <comment ref="C49" authorId="0" shapeId="0">
      <text>
        <t>Loan: Commonwealth, 11th St Property. Source: data/loans.md</t>
      </text>
    </comment>
    <comment ref="D49" authorId="0" shapeId="0">
      <text>
        <t>Interest = Principal * Annual Rate / 12 (interest-only)</t>
      </text>
    </comment>
    <comment ref="E49" authorId="0" shapeId="0">
      <text>
        <t>Principal = 0 for interest-only balloon loan</t>
      </text>
    </comment>
    <comment ref="F49" authorId="0" shapeId="0">
      <text>
        <t>Closing = Opening - Principal (constant for interest-only)</t>
      </text>
    </comment>
    <comment ref="C50" authorId="0" shapeId="0">
      <text>
        <t>Loan: Commonwealth, 11th St Property. Source: data/loans.md</t>
      </text>
    </comment>
    <comment ref="D50" authorId="0" shapeId="0">
      <text>
        <t>Interest = Principal * Annual Rate / 12 (interest-only)</t>
      </text>
    </comment>
    <comment ref="E50" authorId="0" shapeId="0">
      <text>
        <t>Principal = 0 for interest-only balloon loan</t>
      </text>
    </comment>
    <comment ref="F50" authorId="0" shapeId="0">
      <text>
        <t>Closing = Opening - Principal (constant for interest-only)</t>
      </text>
    </comment>
    <comment ref="C51" authorId="0" shapeId="0">
      <text>
        <t>Loan: Commonwealth, 11th St Property. Source: data/loans.md</t>
      </text>
    </comment>
    <comment ref="D51" authorId="0" shapeId="0">
      <text>
        <t>Interest = Principal * Annual Rate / 12 (interest-only)</t>
      </text>
    </comment>
    <comment ref="E51" authorId="0" shapeId="0">
      <text>
        <t>Principal = 0 for interest-only balloon loan</t>
      </text>
    </comment>
    <comment ref="F51" authorId="0" shapeId="0">
      <text>
        <t>Closing = Opening - Principal (constant for interest-only)</t>
      </text>
    </comment>
    <comment ref="C52" authorId="0" shapeId="0">
      <text>
        <t>Loan: Commonwealth, 11th St Property. Source: data/loans.md</t>
      </text>
    </comment>
    <comment ref="D52" authorId="0" shapeId="0">
      <text>
        <t>Interest = Principal * Annual Rate / 12 (interest-only)</t>
      </text>
    </comment>
    <comment ref="E52" authorId="0" shapeId="0">
      <text>
        <t>Principal = 0 for interest-only balloon loan</t>
      </text>
    </comment>
    <comment ref="F52" authorId="0" shapeId="0">
      <text>
        <t>Closing = Opening - Principal (constant for interest-only)</t>
      </text>
    </comment>
    <comment ref="C53" authorId="0" shapeId="0">
      <text>
        <t>Loan: Commonwealth, 11th St Property. Source: data/loans.md</t>
      </text>
    </comment>
    <comment ref="D53" authorId="0" shapeId="0">
      <text>
        <t>Interest = Principal * Annual Rate / 12 (interest-only)</t>
      </text>
    </comment>
    <comment ref="E53" authorId="0" shapeId="0">
      <text>
        <t>Principal = 0 for interest-only balloon loan</t>
      </text>
    </comment>
    <comment ref="F53" authorId="0" shapeId="0">
      <text>
        <t>Closing = Opening - Principal (constant for interest-only)</t>
      </text>
    </comment>
    <comment ref="C54" authorId="0" shapeId="0">
      <text>
        <t>Loan: Commonwealth, 11th St Property. Source: data/loans.md</t>
      </text>
    </comment>
    <comment ref="D54" authorId="0" shapeId="0">
      <text>
        <t>Interest = Principal * Annual Rate / 12 (interest-only)</t>
      </text>
    </comment>
    <comment ref="E54" authorId="0" shapeId="0">
      <text>
        <t>Principal = 0 for interest-only balloon loan</t>
      </text>
    </comment>
    <comment ref="F54" authorId="0" shapeId="0">
      <text>
        <t>Closing = Opening - Principal (constant for interest-only)</t>
      </text>
    </comment>
    <comment ref="C55" authorId="0" shapeId="0">
      <text>
        <t>Loan: Commonwealth, 11th St Property. Source: data/loans.md</t>
      </text>
    </comment>
    <comment ref="D55" authorId="0" shapeId="0">
      <text>
        <t>Interest = Principal * Annual Rate / 12 (interest-only)</t>
      </text>
    </comment>
    <comment ref="E55" authorId="0" shapeId="0">
      <text>
        <t>Principal = 0 for interest-only balloon loan</t>
      </text>
    </comment>
    <comment ref="F55" authorId="0" shapeId="0">
      <text>
        <t>Closing = Opening - Principal (constant for interest-only)</t>
      </text>
    </comment>
    <comment ref="C56" authorId="0" shapeId="0">
      <text>
        <t>Loan: Commonwealth, 11th St Property. Source: data/loans.md</t>
      </text>
    </comment>
    <comment ref="D56" authorId="0" shapeId="0">
      <text>
        <t>Interest = Principal * Annual Rate / 12 (interest-only)</t>
      </text>
    </comment>
    <comment ref="E56" authorId="0" shapeId="0">
      <text>
        <t>Principal = 0 for interest-only balloon loan</t>
      </text>
    </comment>
    <comment ref="F56" authorId="0" shapeId="0">
      <text>
        <t>Closing = Opening - Principal (constant for interest-only)</t>
      </text>
    </comment>
    <comment ref="C57" authorId="0" shapeId="0">
      <text>
        <t>Loan: Commonwealth, 11th St Property. Source: data/loans.md</t>
      </text>
    </comment>
    <comment ref="D57" authorId="0" shapeId="0">
      <text>
        <t>Interest = Principal * Annual Rate / 12 (interest-only)</t>
      </text>
    </comment>
    <comment ref="E57" authorId="0" shapeId="0">
      <text>
        <t>Principal = 0 for interest-only balloon loan</t>
      </text>
    </comment>
    <comment ref="F57" authorId="0" shapeId="0">
      <text>
        <t>Closing = Opening - Principal (constant for interest-only)</t>
      </text>
    </comment>
    <comment ref="C58" authorId="0" shapeId="0">
      <text>
        <t>Loan: Commonwealth, 11th St Property. Source: data/loans.md</t>
      </text>
    </comment>
    <comment ref="D58" authorId="0" shapeId="0">
      <text>
        <t>Interest = Principal * Annual Rate / 12 (interest-only)</t>
      </text>
    </comment>
    <comment ref="E58" authorId="0" shapeId="0">
      <text>
        <t>Principal = 0 for interest-only balloon loan</t>
      </text>
    </comment>
    <comment ref="F58" authorId="0" shapeId="0">
      <text>
        <t>Closing = Opening - Principal (constant for interest-only)</t>
      </text>
    </comment>
    <comment ref="C59" authorId="0" shapeId="0">
      <text>
        <t>Loan: Commonwealth, 11th St Property. Source: data/loans.md</t>
      </text>
    </comment>
    <comment ref="D59" authorId="0" shapeId="0">
      <text>
        <t>Interest = Principal * Annual Rate / 12 (interest-only)</t>
      </text>
    </comment>
    <comment ref="E59" authorId="0" shapeId="0">
      <text>
        <t>Principal = 0 for interest-only balloon loan</t>
      </text>
    </comment>
    <comment ref="F59" authorId="0" shapeId="0">
      <text>
        <t>Closing = Opening - Principal (constant for interest-only)</t>
      </text>
    </comment>
    <comment ref="C60" authorId="0" shapeId="0">
      <text>
        <t>Loan: Commonwealth, 11th St Property. Source: data/loans.md</t>
      </text>
    </comment>
    <comment ref="D60" authorId="0" shapeId="0">
      <text>
        <t>Interest = Principal * Annual Rate / 12 (interest-only)</t>
      </text>
    </comment>
    <comment ref="E60" authorId="0" shapeId="0">
      <text>
        <t>Principal = 0 for interest-only balloon loan</t>
      </text>
    </comment>
    <comment ref="F60" authorId="0" shapeId="0">
      <text>
        <t>Closing = Opening - Principal (constant for interest-only)</t>
      </text>
    </comment>
    <comment ref="C61" authorId="0" shapeId="0">
      <text>
        <t>Loan: Commonwealth, 11th St Property. Source: data/loans.md</t>
      </text>
    </comment>
    <comment ref="D61" authorId="0" shapeId="0">
      <text>
        <t>Interest = Principal * Annual Rate / 12 (interest-only)</t>
      </text>
    </comment>
    <comment ref="E61" authorId="0" shapeId="0">
      <text>
        <t>Principal = 0 for interest-only balloon loan</t>
      </text>
    </comment>
    <comment ref="F61" authorId="0" shapeId="0">
      <text>
        <t>Closing = Opening - Principal (constant for interest-only)</t>
      </text>
    </comment>
    <comment ref="C62" authorId="0" shapeId="0">
      <text>
        <t>Loan: Commonwealth, 11th St Property. Source: data/loans.md</t>
      </text>
    </comment>
    <comment ref="D62" authorId="0" shapeId="0">
      <text>
        <t>Interest = Principal * Annual Rate / 12 (interest-only)</t>
      </text>
    </comment>
    <comment ref="E62" authorId="0" shapeId="0">
      <text>
        <t>Principal = 0 for interest-only balloon loan</t>
      </text>
    </comment>
    <comment ref="F62" authorId="0" shapeId="0">
      <text>
        <t>Closing = Opening - Principal (constant for interest-only)</t>
      </text>
    </comment>
    <comment ref="C63" authorId="0" shapeId="0">
      <text>
        <t>Loan: Commonwealth, 11th St Property. Source: data/loans.md</t>
      </text>
    </comment>
    <comment ref="D63" authorId="0" shapeId="0">
      <text>
        <t>Interest = Principal * Annual Rate / 12 (interest-only)</t>
      </text>
    </comment>
    <comment ref="E63" authorId="0" shapeId="0">
      <text>
        <t>Principal = 0 for interest-only balloon loan</t>
      </text>
    </comment>
    <comment ref="F63" authorId="0" shapeId="0">
      <text>
        <t>Closing = Opening - Principal (constant for interest-only)</t>
      </text>
    </comment>
    <comment ref="C64" authorId="0" shapeId="0">
      <text>
        <t>Loan: Commonwealth, 11th St Property. Source: data/loans.md</t>
      </text>
    </comment>
    <comment ref="D64" authorId="0" shapeId="0">
      <text>
        <t>Interest = Principal * Annual Rate / 12 (interest-only)</t>
      </text>
    </comment>
    <comment ref="E64" authorId="0" shapeId="0">
      <text>
        <t>Principal = 0 for interest-only balloon loan</t>
      </text>
    </comment>
    <comment ref="F64" authorId="0" shapeId="0">
      <text>
        <t>Closing = Opening - Principal (constant for interest-only)</t>
      </text>
    </comment>
    <comment ref="C65" authorId="0" shapeId="0">
      <text>
        <t>Loan: Commonwealth, 11th St Property. Source: data/loans.md</t>
      </text>
    </comment>
    <comment ref="D65" authorId="0" shapeId="0">
      <text>
        <t>Interest = Principal * Annual Rate / 12 (interest-only)</t>
      </text>
    </comment>
    <comment ref="E65" authorId="0" shapeId="0">
      <text>
        <t>Principal = 0 for interest-only balloon loan</t>
      </text>
    </comment>
    <comment ref="F65" authorId="0" shapeId="0">
      <text>
        <t>Closing = Opening - Principal (constant for interest-only)</t>
      </text>
    </comment>
    <comment ref="C66" authorId="0" shapeId="0">
      <text>
        <t>Loan: Commonwealth, 11th St Property. Source: data/loans.md</t>
      </text>
    </comment>
    <comment ref="D66" authorId="0" shapeId="0">
      <text>
        <t>Interest = Principal * Annual Rate / 12 (interest-only)</t>
      </text>
    </comment>
    <comment ref="E66" authorId="0" shapeId="0">
      <text>
        <t>Principal = 0 for interest-only balloon loan</t>
      </text>
    </comment>
    <comment ref="F66" authorId="0" shapeId="0">
      <text>
        <t>Closing = Opening - Principal (constant for interest-only)</t>
      </text>
    </comment>
    <comment ref="C67" authorId="0" shapeId="0">
      <text>
        <t>Loan: Commonwealth, 11th St Property. Source: data/loans.md</t>
      </text>
    </comment>
    <comment ref="D67" authorId="0" shapeId="0">
      <text>
        <t>Interest = Principal * Annual Rate / 12 (interest-only)</t>
      </text>
    </comment>
    <comment ref="E67" authorId="0" shapeId="0">
      <text>
        <t>Principal = 0 for interest-only balloon loan</t>
      </text>
    </comment>
    <comment ref="F67" authorId="0" shapeId="0">
      <text>
        <t>Closing = Opening - Principal (constant for interest-only)</t>
      </text>
    </comment>
    <comment ref="C68" authorId="0" shapeId="0">
      <text>
        <t>Loan: Commonwealth, 11th St Property. Source: data/loans.md</t>
      </text>
    </comment>
    <comment ref="D68" authorId="0" shapeId="0">
      <text>
        <t>Interest = Principal * Annual Rate / 12 (interest-only)</t>
      </text>
    </comment>
    <comment ref="E68" authorId="0" shapeId="0">
      <text>
        <t>Principal = 0 for interest-only balloon loan</t>
      </text>
    </comment>
    <comment ref="F68" authorId="0" shapeId="0">
      <text>
        <t>Closing = Opening - Principal (constant for interest-only)</t>
      </text>
    </comment>
    <comment ref="C69" authorId="0" shapeId="0">
      <text>
        <t>Loan: Commonwealth, 11th St Property. Source: data/loans.md</t>
      </text>
    </comment>
    <comment ref="D69" authorId="0" shapeId="0">
      <text>
        <t>Interest = Principal * Annual Rate / 12 (interest-only)</t>
      </text>
    </comment>
    <comment ref="E69" authorId="0" shapeId="0">
      <text>
        <t>Principal = 0 for interest-only balloon loan</t>
      </text>
    </comment>
    <comment ref="F69" authorId="0" shapeId="0">
      <text>
        <t>Closing = Opening - Principal (constant for interest-only)</t>
      </text>
    </comment>
    <comment ref="C70" authorId="0" shapeId="0">
      <text>
        <t>Loan: Commonwealth, 11th St Property. Source: data/loans.md</t>
      </text>
    </comment>
    <comment ref="D70" authorId="0" shapeId="0">
      <text>
        <t>Interest = Principal * Annual Rate / 12 (interest-only)</t>
      </text>
    </comment>
    <comment ref="E70" authorId="0" shapeId="0">
      <text>
        <t>Principal = 0 for interest-only balloon loan</t>
      </text>
    </comment>
    <comment ref="F70" authorId="0" shapeId="0">
      <text>
        <t>Closing = Opening - Principal (constant for interest-only)</t>
      </text>
    </comment>
    <comment ref="C71" authorId="0" shapeId="0">
      <text>
        <t>Loan: Commonwealth, 11th St Property. Source: data/loans.md</t>
      </text>
    </comment>
    <comment ref="D71" authorId="0" shapeId="0">
      <text>
        <t>Interest = Principal * Annual Rate / 12 (interest-only)</t>
      </text>
    </comment>
    <comment ref="E71" authorId="0" shapeId="0">
      <text>
        <t>Principal = 0 for interest-only balloon loan</t>
      </text>
    </comment>
    <comment ref="F71" authorId="0" shapeId="0">
      <text>
        <t>Closing = Opening - Principal (constant for interest-only)</t>
      </text>
    </comment>
    <comment ref="C72" authorId="0" shapeId="0">
      <text>
        <t>Loan: Commonwealth, 11th St Property. Source: data/loans.md</t>
      </text>
    </comment>
    <comment ref="D72" authorId="0" shapeId="0">
      <text>
        <t>Interest = Principal * Annual Rate / 12 (interest-only)</t>
      </text>
    </comment>
    <comment ref="E72" authorId="0" shapeId="0">
      <text>
        <t>Principal = 0 for interest-only balloon loan</t>
      </text>
    </comment>
    <comment ref="F72" authorId="0" shapeId="0">
      <text>
        <t>Closing = Opening - Principal (constant for interest-only)</t>
      </text>
    </comment>
    <comment ref="C73" authorId="0" shapeId="0">
      <text>
        <t>Loan: Commonwealth, 11th St Property. Source: data/loans.md</t>
      </text>
    </comment>
    <comment ref="D73" authorId="0" shapeId="0">
      <text>
        <t>Interest = Principal * Annual Rate / 12 (interest-only)</t>
      </text>
    </comment>
    <comment ref="E73" authorId="0" shapeId="0">
      <text>
        <t>Principal = 0 for interest-only balloon loan</t>
      </text>
    </comment>
    <comment ref="F73" authorId="0" shapeId="0">
      <text>
        <t>Closing = Opening - Principal (constant for interest-only)</t>
      </text>
    </comment>
    <comment ref="C74" authorId="0" shapeId="0">
      <text>
        <t>Loan: Commonwealth, 11th St Property. Source: data/loans.md</t>
      </text>
    </comment>
    <comment ref="D74" authorId="0" shapeId="0">
      <text>
        <t>Interest = Principal * Annual Rate / 12 (interest-only)</t>
      </text>
    </comment>
    <comment ref="E74" authorId="0" shapeId="0">
      <text>
        <t>Principal = 0 for interest-only balloon loan</t>
      </text>
    </comment>
    <comment ref="F74" authorId="0" shapeId="0">
      <text>
        <t>Closing = Opening - Principal (constant for interest-only)</t>
      </text>
    </comment>
    <comment ref="C75" authorId="0" shapeId="0">
      <text>
        <t>Loan: Commonwealth, 11th St Property. Source: data/loans.md</t>
      </text>
    </comment>
    <comment ref="D75" authorId="0" shapeId="0">
      <text>
        <t>Interest = Principal * Annual Rate / 12 (interest-only)</t>
      </text>
    </comment>
    <comment ref="E75" authorId="0" shapeId="0">
      <text>
        <t>Principal = 0 for interest-only balloon loan</t>
      </text>
    </comment>
    <comment ref="F75" authorId="0" shapeId="0">
      <text>
        <t>Closing = Opening - Principal (constant for interest-only)</t>
      </text>
    </comment>
    <comment ref="C76" authorId="0" shapeId="0">
      <text>
        <t>Loan: Commonwealth, 11th St Property. Source: data/loans.md</t>
      </text>
    </comment>
    <comment ref="D76" authorId="0" shapeId="0">
      <text>
        <t>Interest = Principal * Annual Rate / 12 (interest-only)</t>
      </text>
    </comment>
    <comment ref="E76" authorId="0" shapeId="0">
      <text>
        <t>Principal = 0 for interest-only balloon loan</t>
      </text>
    </comment>
    <comment ref="F76" authorId="0" shapeId="0">
      <text>
        <t>Closing = Opening - Principal (constant for interest-only)</t>
      </text>
    </comment>
    <comment ref="C77" authorId="0" shapeId="0">
      <text>
        <t>Loan: Commonwealth, 11th St Property. Source: data/loans.md</t>
      </text>
    </comment>
    <comment ref="D77" authorId="0" shapeId="0">
      <text>
        <t>Interest = Principal * Annual Rate / 12 (interest-only)</t>
      </text>
    </comment>
    <comment ref="E77" authorId="0" shapeId="0">
      <text>
        <t>Principal = 0 for interest-only balloon loan</t>
      </text>
    </comment>
    <comment ref="F77" authorId="0" shapeId="0">
      <text>
        <t>Closing = Opening - Principal (constant for interest-only)</t>
      </text>
    </comment>
    <comment ref="C78" authorId="0" shapeId="0">
      <text>
        <t>Loan: Commonwealth, 11th St Property. Source: data/loans.md</t>
      </text>
    </comment>
    <comment ref="D78" authorId="0" shapeId="0">
      <text>
        <t>Interest = Principal * Annual Rate / 12 (interest-only)</t>
      </text>
    </comment>
    <comment ref="E78" authorId="0" shapeId="0">
      <text>
        <t>Principal = 0 for interest-only balloon loan</t>
      </text>
    </comment>
    <comment ref="F78" authorId="0" shapeId="0">
      <text>
        <t>Closing = Opening - Principal (constant for interest-only)</t>
      </text>
    </comment>
    <comment ref="C79" authorId="0" shapeId="0">
      <text>
        <t>Loan: Commonwealth, 11th St Property. Source: data/loans.md</t>
      </text>
    </comment>
    <comment ref="D79" authorId="0" shapeId="0">
      <text>
        <t>Interest = Principal * Annual Rate / 12 (interest-only)</t>
      </text>
    </comment>
    <comment ref="E79" authorId="0" shapeId="0">
      <text>
        <t>Principal = 0 for interest-only balloon loan</t>
      </text>
    </comment>
    <comment ref="F79" authorId="0" shapeId="0">
      <text>
        <t>Closing = Opening - Principal (constant for interest-only)</t>
      </text>
    </comment>
    <comment ref="C80" authorId="0" shapeId="0">
      <text>
        <t>Loan: Commonwealth, 11th St Property. Source: data/loans.md</t>
      </text>
    </comment>
    <comment ref="D80" authorId="0" shapeId="0">
      <text>
        <t>Interest = Principal * Annual Rate / 12 (interest-only)</t>
      </text>
    </comment>
    <comment ref="E80" authorId="0" shapeId="0">
      <text>
        <t>Principal = 0 for interest-only balloon loan</t>
      </text>
    </comment>
    <comment ref="F80" authorId="0" shapeId="0">
      <text>
        <t>Closing = Opening - Principal (constant for interest-only)</t>
      </text>
    </comment>
    <comment ref="C81" authorId="0" shapeId="0">
      <text>
        <t>Loan: Commonwealth, 11th St Property. Source: data/loans.md</t>
      </text>
    </comment>
    <comment ref="D81" authorId="0" shapeId="0">
      <text>
        <t>Interest = Principal * Annual Rate / 12 (interest-only)</t>
      </text>
    </comment>
    <comment ref="E81" authorId="0" shapeId="0">
      <text>
        <t>Principal = 0 for interest-only balloon loan</t>
      </text>
    </comment>
    <comment ref="F81" authorId="0" shapeId="0">
      <text>
        <t>Closing = Opening - Principal (constant for interest-only)</t>
      </text>
    </comment>
    <comment ref="C82" authorId="0" shapeId="0">
      <text>
        <t>Loan: Commonwealth, 11th St Property. Source: data/loans.md</t>
      </text>
    </comment>
    <comment ref="D82" authorId="0" shapeId="0">
      <text>
        <t>Interest = Principal * Annual Rate / 12 (interest-only)</t>
      </text>
    </comment>
    <comment ref="E82" authorId="0" shapeId="0">
      <text>
        <t>Principal = 0 for interest-only balloon loan</t>
      </text>
    </comment>
    <comment ref="F82" authorId="0" shapeId="0">
      <text>
        <t>Closing = Opening - Principal (constant for interest-only)</t>
      </text>
    </comment>
    <comment ref="C83" authorId="0" shapeId="0">
      <text>
        <t>Loan: Commonwealth, 11th St Property. Source: data/loans.md</t>
      </text>
    </comment>
    <comment ref="D83" authorId="0" shapeId="0">
      <text>
        <t>Interest = Principal * Annual Rate / 12 (interest-only)</t>
      </text>
    </comment>
    <comment ref="E83" authorId="0" shapeId="0">
      <text>
        <t>Principal = 0 for interest-only balloon loan</t>
      </text>
    </comment>
    <comment ref="F83" authorId="0" shapeId="0">
      <text>
        <t>Closing = Opening - Principal (constant for interest-only)</t>
      </text>
    </comment>
    <comment ref="C84" authorId="0" shapeId="0">
      <text>
        <t>Loan: Commonwealth, 11th St Property. Source: data/loans.md</t>
      </text>
    </comment>
    <comment ref="D84" authorId="0" shapeId="0">
      <text>
        <t>Interest = Principal * Annual Rate / 12 (interest-only)</t>
      </text>
    </comment>
    <comment ref="E84" authorId="0" shapeId="0">
      <text>
        <t>Principal = 0 for interest-only balloon loan</t>
      </text>
    </comment>
    <comment ref="F84" authorId="0" shapeId="0">
      <text>
        <t>Closing = Opening - Principal (constant for interest-only)</t>
      </text>
    </comment>
    <comment ref="C85" authorId="0" shapeId="0">
      <text>
        <t>Loan: Commonwealth, 11th St Property. Source: data/loans.md</t>
      </text>
    </comment>
    <comment ref="D85" authorId="0" shapeId="0">
      <text>
        <t>Interest = Principal * Annual Rate / 12 (interest-only)</t>
      </text>
    </comment>
    <comment ref="E85" authorId="0" shapeId="0">
      <text>
        <t>Principal = 0 for interest-only balloon loan</t>
      </text>
    </comment>
    <comment ref="F85" authorId="0" shapeId="0">
      <text>
        <t>Closing = Opening - Principal (constant for interest-only)</t>
      </text>
    </comment>
    <comment ref="C86" authorId="0" shapeId="0">
      <text>
        <t>Loan: Commonwealth, 11th St Property. Source: data/loans.md</t>
      </text>
    </comment>
    <comment ref="D86" authorId="0" shapeId="0">
      <text>
        <t>Interest = Principal * Annual Rate / 12 (interest-only)</t>
      </text>
    </comment>
    <comment ref="E86" authorId="0" shapeId="0">
      <text>
        <t>Principal = 0 for interest-only balloon loan</t>
      </text>
    </comment>
    <comment ref="F86" authorId="0" shapeId="0">
      <text>
        <t>Closing = Opening - Principal (constant for interest-only)</t>
      </text>
    </comment>
    <comment ref="C87" authorId="0" shapeId="0">
      <text>
        <t>Loan: Commonwealth, 11th St Property. Source: data/loans.md</t>
      </text>
    </comment>
    <comment ref="D87" authorId="0" shapeId="0">
      <text>
        <t>Interest = Principal * Annual Rate / 12 (interest-only)</t>
      </text>
    </comment>
    <comment ref="E87" authorId="0" shapeId="0">
      <text>
        <t>Principal = 0 for interest-only balloon loan</t>
      </text>
    </comment>
    <comment ref="F87" authorId="0" shapeId="0">
      <text>
        <t>Closing = Opening - Principal (constant for interest-only)</t>
      </text>
    </comment>
    <comment ref="C88" authorId="0" shapeId="0">
      <text>
        <t>Loan: Commonwealth, 11th St Property. Source: data/loans.md</t>
      </text>
    </comment>
    <comment ref="D88" authorId="0" shapeId="0">
      <text>
        <t>Interest = Principal * Annual Rate / 12 (interest-only)</t>
      </text>
    </comment>
    <comment ref="E88" authorId="0" shapeId="0">
      <text>
        <t>Principal = 0 for interest-only balloon loan</t>
      </text>
    </comment>
    <comment ref="F88" authorId="0" shapeId="0">
      <text>
        <t>Closing = Opening - Principal (constant for interest-only)</t>
      </text>
    </comment>
    <comment ref="C89" authorId="0" shapeId="0">
      <text>
        <t>Loan: Commonwealth, 11th St Property. Source: data/loans.md</t>
      </text>
    </comment>
    <comment ref="D89" authorId="0" shapeId="0">
      <text>
        <t>Interest = Principal * Annual Rate / 12 (interest-only)</t>
      </text>
    </comment>
    <comment ref="E89" authorId="0" shapeId="0">
      <text>
        <t>Principal = 0 for interest-only balloon loan</t>
      </text>
    </comment>
    <comment ref="F89" authorId="0" shapeId="0">
      <text>
        <t>Closing = Opening - Principal (constant for interest-only)</t>
      </text>
    </comment>
    <comment ref="C90" authorId="0" shapeId="0">
      <text>
        <t>Loan: Commonwealth, 11th St Property. Source: data/loans.md</t>
      </text>
    </comment>
    <comment ref="D90" authorId="0" shapeId="0">
      <text>
        <t>Interest = Principal * Annual Rate / 12 (interest-only)</t>
      </text>
    </comment>
    <comment ref="E90" authorId="0" shapeId="0">
      <text>
        <t>Principal = 0 for interest-only balloon loan</t>
      </text>
    </comment>
    <comment ref="F90" authorId="0" shapeId="0">
      <text>
        <t>Closing = Opening - Principal (constant for interest-only)</t>
      </text>
    </comment>
    <comment ref="C91" authorId="0" shapeId="0">
      <text>
        <t>Loan: Commonwealth, 11th St Property. Source: data/loans.md</t>
      </text>
    </comment>
    <comment ref="D91" authorId="0" shapeId="0">
      <text>
        <t>Interest = Principal * Annual Rate / 12 (interest-only)</t>
      </text>
    </comment>
    <comment ref="E91" authorId="0" shapeId="0">
      <text>
        <t>Principal = 0 for interest-only balloon loan</t>
      </text>
    </comment>
    <comment ref="F91" authorId="0" shapeId="0">
      <text>
        <t>Closing = Opening - Principal (constant for interest-only)</t>
      </text>
    </comment>
    <comment ref="B97" authorId="0" shapeId="0">
      <text>
        <t>Source: data/loans.md - Commonwealth Loan 2
Extracted: 2026-05-19</t>
      </text>
    </comment>
    <comment ref="B98" authorId="0" shapeId="0">
      <text>
        <t>Source: data/loans.md - 9.00% annual interest rate</t>
      </text>
    </comment>
    <comment ref="B99" authorId="0" shapeId="0">
      <text>
        <t>Source: data/loans.md - Interest only: Principal * 9% / 12</t>
      </text>
    </comment>
    <comment ref="B100" authorId="0" shapeId="0">
      <text>
        <t>Source: data/loans.md - Origination Date</t>
      </text>
    </comment>
    <comment ref="B101" authorId="0" shapeId="0">
      <text>
        <t>Source: data/loans.md - Maturity Date</t>
      </text>
    </comment>
    <comment ref="C105" authorId="0" shapeId="0">
      <text>
        <t>Loan: Commonwealth, Harrison Property. Source: data/loans.md</t>
      </text>
    </comment>
    <comment ref="D105" authorId="0" shapeId="0">
      <text>
        <t>Interest = Principal * Annual Rate / 12 (interest-only)</t>
      </text>
    </comment>
    <comment ref="E105" authorId="0" shapeId="0">
      <text>
        <t>Principal = 0 for interest-only balloon loan</t>
      </text>
    </comment>
    <comment ref="F105" authorId="0" shapeId="0">
      <text>
        <t>Closing = Opening - Principal (constant for interest-only)</t>
      </text>
    </comment>
    <comment ref="C106" authorId="0" shapeId="0">
      <text>
        <t>Loan: Commonwealth, Harrison Property. Source: data/loans.md</t>
      </text>
    </comment>
    <comment ref="D106" authorId="0" shapeId="0">
      <text>
        <t>Interest = Principal * Annual Rate / 12 (interest-only)</t>
      </text>
    </comment>
    <comment ref="E106" authorId="0" shapeId="0">
      <text>
        <t>Principal = 0 for interest-only balloon loan</t>
      </text>
    </comment>
    <comment ref="F106" authorId="0" shapeId="0">
      <text>
        <t>Closing = Opening - Principal (constant for interest-only)</t>
      </text>
    </comment>
    <comment ref="C107" authorId="0" shapeId="0">
      <text>
        <t>Loan: Commonwealth, Harrison Property. Source: data/loans.md</t>
      </text>
    </comment>
    <comment ref="D107" authorId="0" shapeId="0">
      <text>
        <t>Interest = Principal * Annual Rate / 12 (interest-only)</t>
      </text>
    </comment>
    <comment ref="E107" authorId="0" shapeId="0">
      <text>
        <t>Principal = 0 for interest-only balloon loan</t>
      </text>
    </comment>
    <comment ref="F107" authorId="0" shapeId="0">
      <text>
        <t>Closing = Opening - Principal (constant for interest-only)</t>
      </text>
    </comment>
    <comment ref="C108" authorId="0" shapeId="0">
      <text>
        <t>Loan: Commonwealth, Harrison Property. Source: data/loans.md</t>
      </text>
    </comment>
    <comment ref="D108" authorId="0" shapeId="0">
      <text>
        <t>Interest = Principal * Annual Rate / 12 (interest-only)</t>
      </text>
    </comment>
    <comment ref="E108" authorId="0" shapeId="0">
      <text>
        <t>Principal = 0 for interest-only balloon loan</t>
      </text>
    </comment>
    <comment ref="F108" authorId="0" shapeId="0">
      <text>
        <t>Closing = Opening - Principal (constant for interest-only)</t>
      </text>
    </comment>
    <comment ref="C109" authorId="0" shapeId="0">
      <text>
        <t>Loan: Commonwealth, Harrison Property. Source: data/loans.md</t>
      </text>
    </comment>
    <comment ref="D109" authorId="0" shapeId="0">
      <text>
        <t>Interest = Principal * Annual Rate / 12 (interest-only)</t>
      </text>
    </comment>
    <comment ref="E109" authorId="0" shapeId="0">
      <text>
        <t>Principal = 0 for interest-only balloon loan</t>
      </text>
    </comment>
    <comment ref="F109" authorId="0" shapeId="0">
      <text>
        <t>Closing = Opening - Principal (constant for interest-only)</t>
      </text>
    </comment>
    <comment ref="C110" authorId="0" shapeId="0">
      <text>
        <t>Loan: Commonwealth, Harrison Property. Source: data/loans.md</t>
      </text>
    </comment>
    <comment ref="D110" authorId="0" shapeId="0">
      <text>
        <t>Interest = Principal * Annual Rate / 12 (interest-only)</t>
      </text>
    </comment>
    <comment ref="E110" authorId="0" shapeId="0">
      <text>
        <t>Principal = 0 for interest-only balloon loan</t>
      </text>
    </comment>
    <comment ref="F110" authorId="0" shapeId="0">
      <text>
        <t>Closing = Opening - Principal (constant for interest-only)</t>
      </text>
    </comment>
    <comment ref="C111" authorId="0" shapeId="0">
      <text>
        <t>Loan: Commonwealth, Harrison Property. Source: data/loans.md</t>
      </text>
    </comment>
    <comment ref="D111" authorId="0" shapeId="0">
      <text>
        <t>Interest = Principal * Annual Rate / 12 (interest-only)</t>
      </text>
    </comment>
    <comment ref="E111" authorId="0" shapeId="0">
      <text>
        <t>Principal = 0 for interest-only balloon loan</t>
      </text>
    </comment>
    <comment ref="F111" authorId="0" shapeId="0">
      <text>
        <t>Closing = Opening - Principal (constant for interest-only)</t>
      </text>
    </comment>
    <comment ref="C112" authorId="0" shapeId="0">
      <text>
        <t>Loan: Commonwealth, Harrison Property. Source: data/loans.md</t>
      </text>
    </comment>
    <comment ref="D112" authorId="0" shapeId="0">
      <text>
        <t>Interest = Principal * Annual Rate / 12 (interest-only)</t>
      </text>
    </comment>
    <comment ref="E112" authorId="0" shapeId="0">
      <text>
        <t>Principal = 0 for interest-only balloon loan</t>
      </text>
    </comment>
    <comment ref="F112" authorId="0" shapeId="0">
      <text>
        <t>Closing = Opening - Principal (constant for interest-only)</t>
      </text>
    </comment>
    <comment ref="C113" authorId="0" shapeId="0">
      <text>
        <t>Loan: Commonwealth, Harrison Property. Source: data/loans.md</t>
      </text>
    </comment>
    <comment ref="D113" authorId="0" shapeId="0">
      <text>
        <t>Interest = Principal * Annual Rate / 12 (interest-only)</t>
      </text>
    </comment>
    <comment ref="E113" authorId="0" shapeId="0">
      <text>
        <t>Principal = 0 for interest-only balloon loan</t>
      </text>
    </comment>
    <comment ref="F113" authorId="0" shapeId="0">
      <text>
        <t>Closing = Opening - Principal (constant for interest-only)</t>
      </text>
    </comment>
    <comment ref="C114" authorId="0" shapeId="0">
      <text>
        <t>Loan: Commonwealth, Harrison Property. Source: data/loans.md</t>
      </text>
    </comment>
    <comment ref="D114" authorId="0" shapeId="0">
      <text>
        <t>Interest = Principal * Annual Rate / 12 (interest-only)</t>
      </text>
    </comment>
    <comment ref="E114" authorId="0" shapeId="0">
      <text>
        <t>Principal = 0 for interest-only balloon loan</t>
      </text>
    </comment>
    <comment ref="F114" authorId="0" shapeId="0">
      <text>
        <t>Closing = Opening - Principal (constant for interest-only)</t>
      </text>
    </comment>
    <comment ref="C115" authorId="0" shapeId="0">
      <text>
        <t>Loan: Commonwealth, Harrison Property. Source: data/loans.md</t>
      </text>
    </comment>
    <comment ref="D115" authorId="0" shapeId="0">
      <text>
        <t>Interest = Principal * Annual Rate / 12 (interest-only)</t>
      </text>
    </comment>
    <comment ref="E115" authorId="0" shapeId="0">
      <text>
        <t>Principal = 0 for interest-only balloon loan</t>
      </text>
    </comment>
    <comment ref="F115" authorId="0" shapeId="0">
      <text>
        <t>Closing = Opening - Principal (constant for interest-only)</t>
      </text>
    </comment>
    <comment ref="C116" authorId="0" shapeId="0">
      <text>
        <t>Loan: Commonwealth, Harrison Property. Source: data/loans.md</t>
      </text>
    </comment>
    <comment ref="D116" authorId="0" shapeId="0">
      <text>
        <t>Interest = Principal * Annual Rate / 12 (interest-only)</t>
      </text>
    </comment>
    <comment ref="E116" authorId="0" shapeId="0">
      <text>
        <t>Principal = 0 for interest-only balloon loan</t>
      </text>
    </comment>
    <comment ref="F116" authorId="0" shapeId="0">
      <text>
        <t>Closing = Opening - Principal (constant for interest-only)</t>
      </text>
    </comment>
    <comment ref="C117" authorId="0" shapeId="0">
      <text>
        <t>Loan: Commonwealth, Harrison Property. Source: data/loans.md</t>
      </text>
    </comment>
    <comment ref="D117" authorId="0" shapeId="0">
      <text>
        <t>Interest = Principal * Annual Rate / 12 (interest-only)</t>
      </text>
    </comment>
    <comment ref="E117" authorId="0" shapeId="0">
      <text>
        <t>Principal = 0 for interest-only balloon loan</t>
      </text>
    </comment>
    <comment ref="F117" authorId="0" shapeId="0">
      <text>
        <t>Closing = Opening - Principal (constant for interest-only)</t>
      </text>
    </comment>
    <comment ref="C118" authorId="0" shapeId="0">
      <text>
        <t>Loan: Commonwealth, Harrison Property. Source: data/loans.md</t>
      </text>
    </comment>
    <comment ref="D118" authorId="0" shapeId="0">
      <text>
        <t>Interest = Principal * Annual Rate / 12 (interest-only)</t>
      </text>
    </comment>
    <comment ref="E118" authorId="0" shapeId="0">
      <text>
        <t>Principal = 0 for interest-only balloon loan</t>
      </text>
    </comment>
    <comment ref="F118" authorId="0" shapeId="0">
      <text>
        <t>Closing = Opening - Principal (constant for interest-only)</t>
      </text>
    </comment>
    <comment ref="C119" authorId="0" shapeId="0">
      <text>
        <t>Loan: Commonwealth, Harrison Property. Source: data/loans.md</t>
      </text>
    </comment>
    <comment ref="D119" authorId="0" shapeId="0">
      <text>
        <t>Interest = Principal * Annual Rate / 12 (interest-only)</t>
      </text>
    </comment>
    <comment ref="E119" authorId="0" shapeId="0">
      <text>
        <t>Principal = 0 for interest-only balloon loan</t>
      </text>
    </comment>
    <comment ref="F119" authorId="0" shapeId="0">
      <text>
        <t>Closing = Opening - Principal (constant for interest-only)</t>
      </text>
    </comment>
    <comment ref="C120" authorId="0" shapeId="0">
      <text>
        <t>Loan: Commonwealth, Harrison Property. Source: data/loans.md</t>
      </text>
    </comment>
    <comment ref="D120" authorId="0" shapeId="0">
      <text>
        <t>Interest = Principal * Annual Rate / 12 (interest-only)</t>
      </text>
    </comment>
    <comment ref="E120" authorId="0" shapeId="0">
      <text>
        <t>Principal = 0 for interest-only balloon loan</t>
      </text>
    </comment>
    <comment ref="F120" authorId="0" shapeId="0">
      <text>
        <t>Closing = Opening - Principal (constant for interest-only)</t>
      </text>
    </comment>
    <comment ref="C121" authorId="0" shapeId="0">
      <text>
        <t>Loan: Commonwealth, Harrison Property. Source: data/loans.md</t>
      </text>
    </comment>
    <comment ref="D121" authorId="0" shapeId="0">
      <text>
        <t>Interest = Principal * Annual Rate / 12 (interest-only)</t>
      </text>
    </comment>
    <comment ref="E121" authorId="0" shapeId="0">
      <text>
        <t>Principal = 0 for interest-only balloon loan</t>
      </text>
    </comment>
    <comment ref="F121" authorId="0" shapeId="0">
      <text>
        <t>Closing = Opening - Principal (constant for interest-only)</t>
      </text>
    </comment>
    <comment ref="C122" authorId="0" shapeId="0">
      <text>
        <t>Loan: Commonwealth, Harrison Property. Source: data/loans.md</t>
      </text>
    </comment>
    <comment ref="D122" authorId="0" shapeId="0">
      <text>
        <t>Interest = Principal * Annual Rate / 12 (interest-only)</t>
      </text>
    </comment>
    <comment ref="E122" authorId="0" shapeId="0">
      <text>
        <t>Principal = 0 for interest-only balloon loan</t>
      </text>
    </comment>
    <comment ref="F122" authorId="0" shapeId="0">
      <text>
        <t>Closing = Opening - Principal (constant for interest-only)</t>
      </text>
    </comment>
    <comment ref="C123" authorId="0" shapeId="0">
      <text>
        <t>Loan: Commonwealth, Harrison Property. Source: data/loans.md</t>
      </text>
    </comment>
    <comment ref="D123" authorId="0" shapeId="0">
      <text>
        <t>Interest = Principal * Annual Rate / 12 (interest-only)</t>
      </text>
    </comment>
    <comment ref="E123" authorId="0" shapeId="0">
      <text>
        <t>Principal = 0 for interest-only balloon loan</t>
      </text>
    </comment>
    <comment ref="F123" authorId="0" shapeId="0">
      <text>
        <t>Closing = Opening - Principal (constant for interest-only)</t>
      </text>
    </comment>
    <comment ref="C124" authorId="0" shapeId="0">
      <text>
        <t>Loan: Commonwealth, Harrison Property. Source: data/loans.md</t>
      </text>
    </comment>
    <comment ref="D124" authorId="0" shapeId="0">
      <text>
        <t>Interest = Principal * Annual Rate / 12 (interest-only)</t>
      </text>
    </comment>
    <comment ref="E124" authorId="0" shapeId="0">
      <text>
        <t>Principal = 0 for interest-only balloon loan</t>
      </text>
    </comment>
    <comment ref="F124" authorId="0" shapeId="0">
      <text>
        <t>Closing = Opening - Principal (constant for interest-only)</t>
      </text>
    </comment>
    <comment ref="C125" authorId="0" shapeId="0">
      <text>
        <t>Loan: Commonwealth, Harrison Property. Source: data/loans.md</t>
      </text>
    </comment>
    <comment ref="D125" authorId="0" shapeId="0">
      <text>
        <t>Interest = Principal * Annual Rate / 12 (interest-only)</t>
      </text>
    </comment>
    <comment ref="E125" authorId="0" shapeId="0">
      <text>
        <t>Principal = 0 for interest-only balloon loan</t>
      </text>
    </comment>
    <comment ref="F125" authorId="0" shapeId="0">
      <text>
        <t>Closing = Opening - Principal (constant for interest-only)</t>
      </text>
    </comment>
    <comment ref="C126" authorId="0" shapeId="0">
      <text>
        <t>Loan: Commonwealth, Harrison Property. Source: data/loans.md</t>
      </text>
    </comment>
    <comment ref="D126" authorId="0" shapeId="0">
      <text>
        <t>Interest = Principal * Annual Rate / 12 (interest-only)</t>
      </text>
    </comment>
    <comment ref="E126" authorId="0" shapeId="0">
      <text>
        <t>Principal = 0 for interest-only balloon loan</t>
      </text>
    </comment>
    <comment ref="F126" authorId="0" shapeId="0">
      <text>
        <t>Closing = Opening - Principal (constant for interest-only)</t>
      </text>
    </comment>
    <comment ref="C127" authorId="0" shapeId="0">
      <text>
        <t>Loan: Commonwealth, Harrison Property. Source: data/loans.md</t>
      </text>
    </comment>
    <comment ref="D127" authorId="0" shapeId="0">
      <text>
        <t>Interest = Principal * Annual Rate / 12 (interest-only)</t>
      </text>
    </comment>
    <comment ref="E127" authorId="0" shapeId="0">
      <text>
        <t>Principal = 0 for interest-only balloon loan</t>
      </text>
    </comment>
    <comment ref="F127" authorId="0" shapeId="0">
      <text>
        <t>Closing = Opening - Principal (constant for interest-only)</t>
      </text>
    </comment>
    <comment ref="C128" authorId="0" shapeId="0">
      <text>
        <t>Loan: Commonwealth, Harrison Property. Source: data/loans.md</t>
      </text>
    </comment>
    <comment ref="D128" authorId="0" shapeId="0">
      <text>
        <t>Interest = Principal * Annual Rate / 12 (interest-only)</t>
      </text>
    </comment>
    <comment ref="E128" authorId="0" shapeId="0">
      <text>
        <t>Principal = 0 for interest-only balloon loan</t>
      </text>
    </comment>
    <comment ref="F128" authorId="0" shapeId="0">
      <text>
        <t>Closing = Opening - Principal (constant for interest-only)</t>
      </text>
    </comment>
    <comment ref="C129" authorId="0" shapeId="0">
      <text>
        <t>Loan: Commonwealth, Harrison Property. Source: data/loans.md</t>
      </text>
    </comment>
    <comment ref="D129" authorId="0" shapeId="0">
      <text>
        <t>Interest = Principal * Annual Rate / 12 (interest-only)</t>
      </text>
    </comment>
    <comment ref="E129" authorId="0" shapeId="0">
      <text>
        <t>Principal = 0 for interest-only balloon loan</t>
      </text>
    </comment>
    <comment ref="F129" authorId="0" shapeId="0">
      <text>
        <t>Closing = Opening - Principal (constant for interest-only)</t>
      </text>
    </comment>
    <comment ref="C130" authorId="0" shapeId="0">
      <text>
        <t>Loan: Commonwealth, Harrison Property. Source: data/loans.md</t>
      </text>
    </comment>
    <comment ref="D130" authorId="0" shapeId="0">
      <text>
        <t>Interest = Principal * Annual Rate / 12 (interest-only)</t>
      </text>
    </comment>
    <comment ref="E130" authorId="0" shapeId="0">
      <text>
        <t>Principal = 0 for interest-only balloon loan</t>
      </text>
    </comment>
    <comment ref="F130" authorId="0" shapeId="0">
      <text>
        <t>Closing = Opening - Principal (constant for interest-only)</t>
      </text>
    </comment>
    <comment ref="C131" authorId="0" shapeId="0">
      <text>
        <t>Loan: Commonwealth, Harrison Property. Source: data/loans.md</t>
      </text>
    </comment>
    <comment ref="D131" authorId="0" shapeId="0">
      <text>
        <t>Interest = Principal * Annual Rate / 12 (interest-only)</t>
      </text>
    </comment>
    <comment ref="E131" authorId="0" shapeId="0">
      <text>
        <t>Principal = 0 for interest-only balloon loan</t>
      </text>
    </comment>
    <comment ref="F131" authorId="0" shapeId="0">
      <text>
        <t>Closing = Opening - Principal (constant for interest-only)</t>
      </text>
    </comment>
    <comment ref="C132" authorId="0" shapeId="0">
      <text>
        <t>Loan: Commonwealth, Harrison Property. Source: data/loans.md</t>
      </text>
    </comment>
    <comment ref="D132" authorId="0" shapeId="0">
      <text>
        <t>Interest = Principal * Annual Rate / 12 (interest-only)</t>
      </text>
    </comment>
    <comment ref="E132" authorId="0" shapeId="0">
      <text>
        <t>Principal = 0 for interest-only balloon loan</t>
      </text>
    </comment>
    <comment ref="F132" authorId="0" shapeId="0">
      <text>
        <t>Closing = Opening - Principal (constant for interest-only)</t>
      </text>
    </comment>
    <comment ref="C133" authorId="0" shapeId="0">
      <text>
        <t>Loan: Commonwealth, Harrison Property. Source: data/loans.md</t>
      </text>
    </comment>
    <comment ref="D133" authorId="0" shapeId="0">
      <text>
        <t>Interest = Principal * Annual Rate / 12 (interest-only)</t>
      </text>
    </comment>
    <comment ref="E133" authorId="0" shapeId="0">
      <text>
        <t>Principal = 0 for interest-only balloon loan</t>
      </text>
    </comment>
    <comment ref="F133" authorId="0" shapeId="0">
      <text>
        <t>Closing = Opening - Principal (constant for interest-only)</t>
      </text>
    </comment>
    <comment ref="C134" authorId="0" shapeId="0">
      <text>
        <t>Loan: Commonwealth, Harrison Property. Source: data/loans.md</t>
      </text>
    </comment>
    <comment ref="D134" authorId="0" shapeId="0">
      <text>
        <t>Interest = Principal * Annual Rate / 12 (interest-only)</t>
      </text>
    </comment>
    <comment ref="E134" authorId="0" shapeId="0">
      <text>
        <t>Principal = 0 for interest-only balloon loan</t>
      </text>
    </comment>
    <comment ref="F134" authorId="0" shapeId="0">
      <text>
        <t>Closing = Opening - Principal (constant for interest-only)</t>
      </text>
    </comment>
    <comment ref="C135" authorId="0" shapeId="0">
      <text>
        <t>Loan: Commonwealth, Harrison Property. Source: data/loans.md</t>
      </text>
    </comment>
    <comment ref="D135" authorId="0" shapeId="0">
      <text>
        <t>Interest = Principal * Annual Rate / 12 (interest-only)</t>
      </text>
    </comment>
    <comment ref="E135" authorId="0" shapeId="0">
      <text>
        <t>Principal = 0 for interest-only balloon loan</t>
      </text>
    </comment>
    <comment ref="F135" authorId="0" shapeId="0">
      <text>
        <t>Closing = Opening - Principal (constant for interest-only)</t>
      </text>
    </comment>
    <comment ref="C136" authorId="0" shapeId="0">
      <text>
        <t>Loan: Commonwealth, Harrison Property. Source: data/loans.md</t>
      </text>
    </comment>
    <comment ref="D136" authorId="0" shapeId="0">
      <text>
        <t>Interest = Principal * Annual Rate / 12 (interest-only)</t>
      </text>
    </comment>
    <comment ref="E136" authorId="0" shapeId="0">
      <text>
        <t>Principal = 0 for interest-only balloon loan</t>
      </text>
    </comment>
    <comment ref="F136" authorId="0" shapeId="0">
      <text>
        <t>Closing = Opening - Principal (constant for interest-only)</t>
      </text>
    </comment>
    <comment ref="C137" authorId="0" shapeId="0">
      <text>
        <t>Loan: Commonwealth, Harrison Property. Source: data/loans.md</t>
      </text>
    </comment>
    <comment ref="D137" authorId="0" shapeId="0">
      <text>
        <t>Interest = Principal * Annual Rate / 12 (interest-only)</t>
      </text>
    </comment>
    <comment ref="E137" authorId="0" shapeId="0">
      <text>
        <t>Principal = 0 for interest-only balloon loan</t>
      </text>
    </comment>
    <comment ref="F137" authorId="0" shapeId="0">
      <text>
        <t>Closing = Opening - Principal (constant for interest-only)</t>
      </text>
    </comment>
    <comment ref="C138" authorId="0" shapeId="0">
      <text>
        <t>Loan: Commonwealth, Harrison Property. Source: data/loans.md</t>
      </text>
    </comment>
    <comment ref="D138" authorId="0" shapeId="0">
      <text>
        <t>Interest = Principal * Annual Rate / 12 (interest-only)</t>
      </text>
    </comment>
    <comment ref="E138" authorId="0" shapeId="0">
      <text>
        <t>Principal = 0 for interest-only balloon loan</t>
      </text>
    </comment>
    <comment ref="F138" authorId="0" shapeId="0">
      <text>
        <t>Closing = Opening - Principal (constant for interest-only)</t>
      </text>
    </comment>
    <comment ref="C139" authorId="0" shapeId="0">
      <text>
        <t>Loan: Commonwealth, Harrison Property. Source: data/loans.md</t>
      </text>
    </comment>
    <comment ref="D139" authorId="0" shapeId="0">
      <text>
        <t>Interest = Principal * Annual Rate / 12 (interest-only)</t>
      </text>
    </comment>
    <comment ref="E139" authorId="0" shapeId="0">
      <text>
        <t>Principal = 0 for interest-only balloon loan</t>
      </text>
    </comment>
    <comment ref="F139" authorId="0" shapeId="0">
      <text>
        <t>Closing = Opening - Principal (constant for interest-only)</t>
      </text>
    </comment>
    <comment ref="C140" authorId="0" shapeId="0">
      <text>
        <t>Loan: Commonwealth, Harrison Property. Source: data/loans.md</t>
      </text>
    </comment>
    <comment ref="D140" authorId="0" shapeId="0">
      <text>
        <t>Interest = Principal * Annual Rate / 12 (interest-only)</t>
      </text>
    </comment>
    <comment ref="E140" authorId="0" shapeId="0">
      <text>
        <t>Principal = 0 for interest-only balloon loan</t>
      </text>
    </comment>
    <comment ref="F140" authorId="0" shapeId="0">
      <text>
        <t>Closing = Opening - Principal (constant for interest-only)</t>
      </text>
    </comment>
    <comment ref="C141" authorId="0" shapeId="0">
      <text>
        <t>Loan: Commonwealth, Harrison Property. Source: data/loans.md</t>
      </text>
    </comment>
    <comment ref="D141" authorId="0" shapeId="0">
      <text>
        <t>Interest = Principal * Annual Rate / 12 (interest-only)</t>
      </text>
    </comment>
    <comment ref="E141" authorId="0" shapeId="0">
      <text>
        <t>Principal = 0 for interest-only balloon loan</t>
      </text>
    </comment>
    <comment ref="F141" authorId="0" shapeId="0">
      <text>
        <t>Closing = Opening - Principal (constant for interest-only)</t>
      </text>
    </comment>
    <comment ref="C142" authorId="0" shapeId="0">
      <text>
        <t>Loan: Commonwealth, Harrison Property. Source: data/loans.md</t>
      </text>
    </comment>
    <comment ref="D142" authorId="0" shapeId="0">
      <text>
        <t>Interest = Principal * Annual Rate / 12 (interest-only)</t>
      </text>
    </comment>
    <comment ref="E142" authorId="0" shapeId="0">
      <text>
        <t>Principal = 0 for interest-only balloon loan</t>
      </text>
    </comment>
    <comment ref="F142" authorId="0" shapeId="0">
      <text>
        <t>Closing = Opening - Principal (constant for interest-only)</t>
      </text>
    </comment>
    <comment ref="C143" authorId="0" shapeId="0">
      <text>
        <t>Loan: Commonwealth, Harrison Property. Source: data/loans.md</t>
      </text>
    </comment>
    <comment ref="D143" authorId="0" shapeId="0">
      <text>
        <t>Interest = Principal * Annual Rate / 12 (interest-only)</t>
      </text>
    </comment>
    <comment ref="E143" authorId="0" shapeId="0">
      <text>
        <t>Principal = 0 for interest-only balloon loan</t>
      </text>
    </comment>
    <comment ref="F143" authorId="0" shapeId="0">
      <text>
        <t>Closing = Opening - Principal (constant for interest-only)</t>
      </text>
    </comment>
    <comment ref="C144" authorId="0" shapeId="0">
      <text>
        <t>Loan: Commonwealth, Harrison Property. Source: data/loans.md</t>
      </text>
    </comment>
    <comment ref="D144" authorId="0" shapeId="0">
      <text>
        <t>Interest = Principal * Annual Rate / 12 (interest-only)</t>
      </text>
    </comment>
    <comment ref="E144" authorId="0" shapeId="0">
      <text>
        <t>Principal = 0 for interest-only balloon loan</t>
      </text>
    </comment>
    <comment ref="F144" authorId="0" shapeId="0">
      <text>
        <t>Closing = Opening - Principal (constant for interest-only)</t>
      </text>
    </comment>
    <comment ref="C145" authorId="0" shapeId="0">
      <text>
        <t>Loan: Commonwealth, Harrison Property. Source: data/loans.md</t>
      </text>
    </comment>
    <comment ref="D145" authorId="0" shapeId="0">
      <text>
        <t>Interest = Principal * Annual Rate / 12 (interest-only)</t>
      </text>
    </comment>
    <comment ref="E145" authorId="0" shapeId="0">
      <text>
        <t>Principal = 0 for interest-only balloon loan</t>
      </text>
    </comment>
    <comment ref="F145" authorId="0" shapeId="0">
      <text>
        <t>Closing = Opening - Principal (constant for interest-only)</t>
      </text>
    </comment>
    <comment ref="C146" authorId="0" shapeId="0">
      <text>
        <t>Loan: Commonwealth, Harrison Property. Source: data/loans.md</t>
      </text>
    </comment>
    <comment ref="D146" authorId="0" shapeId="0">
      <text>
        <t>Interest = Principal * Annual Rate / 12 (interest-only)</t>
      </text>
    </comment>
    <comment ref="E146" authorId="0" shapeId="0">
      <text>
        <t>Principal = 0 for interest-only balloon loan</t>
      </text>
    </comment>
    <comment ref="F146" authorId="0" shapeId="0">
      <text>
        <t>Closing = Opening - Principal (constant for interest-only)</t>
      </text>
    </comment>
    <comment ref="C147" authorId="0" shapeId="0">
      <text>
        <t>Loan: Commonwealth, Harrison Property. Source: data/loans.md</t>
      </text>
    </comment>
    <comment ref="D147" authorId="0" shapeId="0">
      <text>
        <t>Interest = Principal * Annual Rate / 12 (interest-only)</t>
      </text>
    </comment>
    <comment ref="E147" authorId="0" shapeId="0">
      <text>
        <t>Principal = 0 for interest-only balloon loan</t>
      </text>
    </comment>
    <comment ref="F147" authorId="0" shapeId="0">
      <text>
        <t>Closing = Opening - Principal (constant for interest-only)</t>
      </text>
    </comment>
    <comment ref="C148" authorId="0" shapeId="0">
      <text>
        <t>Loan: Commonwealth, Harrison Property. Source: data/loans.md</t>
      </text>
    </comment>
    <comment ref="D148" authorId="0" shapeId="0">
      <text>
        <t>Interest = Principal * Annual Rate / 12 (interest-only)</t>
      </text>
    </comment>
    <comment ref="E148" authorId="0" shapeId="0">
      <text>
        <t>Principal = 0 for interest-only balloon loan</t>
      </text>
    </comment>
    <comment ref="F148" authorId="0" shapeId="0">
      <text>
        <t>Closing = Opening - Principal (constant for interest-only)</t>
      </text>
    </comment>
    <comment ref="C149" authorId="0" shapeId="0">
      <text>
        <t>Loan: Commonwealth, Harrison Property. Source: data/loans.md</t>
      </text>
    </comment>
    <comment ref="D149" authorId="0" shapeId="0">
      <text>
        <t>Interest = Principal * Annual Rate / 12 (interest-only)</t>
      </text>
    </comment>
    <comment ref="E149" authorId="0" shapeId="0">
      <text>
        <t>Principal = 0 for interest-only balloon loan</t>
      </text>
    </comment>
    <comment ref="F149" authorId="0" shapeId="0">
      <text>
        <t>Closing = Opening - Principal (constant for interest-only)</t>
      </text>
    </comment>
    <comment ref="C150" authorId="0" shapeId="0">
      <text>
        <t>Loan: Commonwealth, Harrison Property. Source: data/loans.md</t>
      </text>
    </comment>
    <comment ref="D150" authorId="0" shapeId="0">
      <text>
        <t>Interest = Principal * Annual Rate / 12 (interest-only)</t>
      </text>
    </comment>
    <comment ref="E150" authorId="0" shapeId="0">
      <text>
        <t>Principal = 0 for interest-only balloon loan</t>
      </text>
    </comment>
    <comment ref="F150" authorId="0" shapeId="0">
      <text>
        <t>Closing = Opening - Principal (constant for interest-only)</t>
      </text>
    </comment>
    <comment ref="C151" authorId="0" shapeId="0">
      <text>
        <t>Loan: Commonwealth, Harrison Property. Source: data/loans.md</t>
      </text>
    </comment>
    <comment ref="D151" authorId="0" shapeId="0">
      <text>
        <t>Interest = Principal * Annual Rate / 12 (interest-only)</t>
      </text>
    </comment>
    <comment ref="E151" authorId="0" shapeId="0">
      <text>
        <t>Principal = 0 for interest-only balloon loan</t>
      </text>
    </comment>
    <comment ref="F151" authorId="0" shapeId="0">
      <text>
        <t>Closing = Opening - Principal (constant for interest-only)</t>
      </text>
    </comment>
    <comment ref="C152" authorId="0" shapeId="0">
      <text>
        <t>Loan: Commonwealth, Harrison Property. Source: data/loans.md</t>
      </text>
    </comment>
    <comment ref="D152" authorId="0" shapeId="0">
      <text>
        <t>Interest = Principal * Annual Rate / 12 (interest-only)</t>
      </text>
    </comment>
    <comment ref="E152" authorId="0" shapeId="0">
      <text>
        <t>Principal = 0 for interest-only balloon loan</t>
      </text>
    </comment>
    <comment ref="F152" authorId="0" shapeId="0">
      <text>
        <t>Closing = Opening - Principal (constant for interest-only)</t>
      </text>
    </comment>
    <comment ref="C153" authorId="0" shapeId="0">
      <text>
        <t>Loan: Commonwealth, Harrison Property. Source: data/loans.md</t>
      </text>
    </comment>
    <comment ref="D153" authorId="0" shapeId="0">
      <text>
        <t>Interest = Principal * Annual Rate / 12 (interest-only)</t>
      </text>
    </comment>
    <comment ref="E153" authorId="0" shapeId="0">
      <text>
        <t>Principal = 0 for interest-only balloon loan</t>
      </text>
    </comment>
    <comment ref="F153" authorId="0" shapeId="0">
      <text>
        <t>Closing = Opening - Principal (constant for interest-only)</t>
      </text>
    </comment>
    <comment ref="C154" authorId="0" shapeId="0">
      <text>
        <t>Loan: Commonwealth, Harrison Property. Source: data/loans.md</t>
      </text>
    </comment>
    <comment ref="D154" authorId="0" shapeId="0">
      <text>
        <t>Interest = Principal * Annual Rate / 12 (interest-only)</t>
      </text>
    </comment>
    <comment ref="E154" authorId="0" shapeId="0">
      <text>
        <t>Principal = 0 for interest-only balloon loan</t>
      </text>
    </comment>
    <comment ref="F154" authorId="0" shapeId="0">
      <text>
        <t>Closing = Opening - Principal (constant for interest-only)</t>
      </text>
    </comment>
    <comment ref="C155" authorId="0" shapeId="0">
      <text>
        <t>Loan: Commonwealth, Harrison Property. Source: data/loans.md</t>
      </text>
    </comment>
    <comment ref="D155" authorId="0" shapeId="0">
      <text>
        <t>Interest = Principal * Annual Rate / 12 (interest-only)</t>
      </text>
    </comment>
    <comment ref="E155" authorId="0" shapeId="0">
      <text>
        <t>Principal = 0 for interest-only balloon loan</t>
      </text>
    </comment>
    <comment ref="F155" authorId="0" shapeId="0">
      <text>
        <t>Closing = Opening - Principal (constant for interest-only)</t>
      </text>
    </comment>
    <comment ref="C156" authorId="0" shapeId="0">
      <text>
        <t>Loan: Commonwealth, Harrison Property. Source: data/loans.md</t>
      </text>
    </comment>
    <comment ref="D156" authorId="0" shapeId="0">
      <text>
        <t>Interest = Principal * Annual Rate / 12 (interest-only)</t>
      </text>
    </comment>
    <comment ref="E156" authorId="0" shapeId="0">
      <text>
        <t>Principal = 0 for interest-only balloon loan</t>
      </text>
    </comment>
    <comment ref="F156" authorId="0" shapeId="0">
      <text>
        <t>Closing = Opening - Principal (constant for interest-only)</t>
      </text>
    </comment>
    <comment ref="C157" authorId="0" shapeId="0">
      <text>
        <t>Loan: Commonwealth, Harrison Property. Source: data/loans.md</t>
      </text>
    </comment>
    <comment ref="D157" authorId="0" shapeId="0">
      <text>
        <t>Interest = Principal * Annual Rate / 12 (interest-only)</t>
      </text>
    </comment>
    <comment ref="E157" authorId="0" shapeId="0">
      <text>
        <t>Principal = 0 for interest-only balloon loan</t>
      </text>
    </comment>
    <comment ref="F157" authorId="0" shapeId="0">
      <text>
        <t>Closing = Opening - Principal (constant for interest-only)</t>
      </text>
    </comment>
    <comment ref="C158" authorId="0" shapeId="0">
      <text>
        <t>Loan: Commonwealth, Harrison Property. Source: data/loans.md</t>
      </text>
    </comment>
    <comment ref="D158" authorId="0" shapeId="0">
      <text>
        <t>Interest = Principal * Annual Rate / 12 (interest-only)</t>
      </text>
    </comment>
    <comment ref="E158" authorId="0" shapeId="0">
      <text>
        <t>Principal = 0 for interest-only balloon loan</t>
      </text>
    </comment>
    <comment ref="F158" authorId="0" shapeId="0">
      <text>
        <t>Closing = Opening - Principal (constant for interest-only)</t>
      </text>
    </comment>
    <comment ref="C159" authorId="0" shapeId="0">
      <text>
        <t>Loan: Commonwealth, Harrison Property. Source: data/loans.md</t>
      </text>
    </comment>
    <comment ref="D159" authorId="0" shapeId="0">
      <text>
        <t>Interest = Principal * Annual Rate / 12 (interest-only)</t>
      </text>
    </comment>
    <comment ref="E159" authorId="0" shapeId="0">
      <text>
        <t>Principal = 0 for interest-only balloon loan</t>
      </text>
    </comment>
    <comment ref="F159" authorId="0" shapeId="0">
      <text>
        <t>Closing = Opening - Principal (constant for interest-only)</t>
      </text>
    </comment>
    <comment ref="C160" authorId="0" shapeId="0">
      <text>
        <t>Loan: Commonwealth, Harrison Property. Source: data/loans.md</t>
      </text>
    </comment>
    <comment ref="D160" authorId="0" shapeId="0">
      <text>
        <t>Interest = Principal * Annual Rate / 12 (interest-only)</t>
      </text>
    </comment>
    <comment ref="E160" authorId="0" shapeId="0">
      <text>
        <t>Principal = 0 for interest-only balloon loan</t>
      </text>
    </comment>
    <comment ref="F160" authorId="0" shapeId="0">
      <text>
        <t>Closing = Opening - Principal (constant for interest-only)</t>
      </text>
    </comment>
    <comment ref="C161" authorId="0" shapeId="0">
      <text>
        <t>Loan: Commonwealth, Harrison Property. Source: data/loans.md</t>
      </text>
    </comment>
    <comment ref="D161" authorId="0" shapeId="0">
      <text>
        <t>Interest = Principal * Annual Rate / 12 (interest-only)</t>
      </text>
    </comment>
    <comment ref="E161" authorId="0" shapeId="0">
      <text>
        <t>Principal = 0 for interest-only balloon loan</t>
      </text>
    </comment>
    <comment ref="F161" authorId="0" shapeId="0">
      <text>
        <t>Closing = Opening - Principal (constant for interest-only)</t>
      </text>
    </comment>
    <comment ref="C162" authorId="0" shapeId="0">
      <text>
        <t>Loan: Commonwealth, Harrison Property. Source: data/loans.md</t>
      </text>
    </comment>
    <comment ref="D162" authorId="0" shapeId="0">
      <text>
        <t>Interest = Principal * Annual Rate / 12 (interest-only)</t>
      </text>
    </comment>
    <comment ref="E162" authorId="0" shapeId="0">
      <text>
        <t>Principal = 0 for interest-only balloon loan</t>
      </text>
    </comment>
    <comment ref="F162" authorId="0" shapeId="0">
      <text>
        <t>Closing = Opening - Principal (constant for interest-only)</t>
      </text>
    </comment>
    <comment ref="C163" authorId="0" shapeId="0">
      <text>
        <t>Loan: Commonwealth, Harrison Property. Source: data/loans.md</t>
      </text>
    </comment>
    <comment ref="D163" authorId="0" shapeId="0">
      <text>
        <t>Interest = Principal * Annual Rate / 12 (interest-only)</t>
      </text>
    </comment>
    <comment ref="E163" authorId="0" shapeId="0">
      <text>
        <t>Principal = 0 for interest-only balloon loan</t>
      </text>
    </comment>
    <comment ref="F163" authorId="0" shapeId="0">
      <text>
        <t>Closing = Opening - Principal (constant for interest-only)</t>
      </text>
    </comment>
    <comment ref="C164" authorId="0" shapeId="0">
      <text>
        <t>Loan: Commonwealth, Harrison Property. Source: data/loans.md</t>
      </text>
    </comment>
    <comment ref="D164" authorId="0" shapeId="0">
      <text>
        <t>Interest = Principal * Annual Rate / 12 (interest-only)</t>
      </text>
    </comment>
    <comment ref="E164" authorId="0" shapeId="0">
      <text>
        <t>Principal = 0 for interest-only balloon loan</t>
      </text>
    </comment>
    <comment ref="F164" authorId="0" shapeId="0">
      <text>
        <t>Closing = Opening - Principal (constant for interest-only)</t>
      </text>
    </comment>
    <comment ref="B169" authorId="0" shapeId="0">
      <text>
        <t>Opening balance constant for interest-only loans</t>
      </text>
    </comment>
    <comment ref="C169" authorId="0" shapeId="0">
      <text>
        <t>Total interest for 2025 (partial): $97,500/month * 4 months</t>
      </text>
    </comment>
    <comment ref="D169" authorId="0" shapeId="0">
      <text>
        <t>Principal = 0 for interest-only loans</t>
      </text>
    </comment>
    <comment ref="E169" authorId="0" shapeId="0">
      <text>
        <t>Closing = Opening - Principal (constant)</t>
      </text>
    </comment>
    <comment ref="B170" authorId="0" shapeId="0">
      <text>
        <t>Opening balance constant for interest-only loans</t>
      </text>
    </comment>
    <comment ref="C170" authorId="0" shapeId="0">
      <text>
        <t>Total interest for 2026: $97,500/month * 12 months</t>
      </text>
    </comment>
    <comment ref="D170" authorId="0" shapeId="0">
      <text>
        <t>Principal = 0 for interest-only loans</t>
      </text>
    </comment>
    <comment ref="E170" authorId="0" shapeId="0">
      <text>
        <t>Closing = Opening - Principal (constant)</t>
      </text>
    </comment>
    <comment ref="B171" authorId="0" shapeId="0">
      <text>
        <t>Opening balance constant for interest-only loans</t>
      </text>
    </comment>
    <comment ref="C171" authorId="0" shapeId="0">
      <text>
        <t>Total interest for 2027: $97,500/month * 12 months</t>
      </text>
    </comment>
    <comment ref="D171" authorId="0" shapeId="0">
      <text>
        <t>Principal = 0 for interest-only loans</t>
      </text>
    </comment>
    <comment ref="E171" authorId="0" shapeId="0">
      <text>
        <t>Closing = Opening - Principal (constant)</t>
      </text>
    </comment>
    <comment ref="B172" authorId="0" shapeId="0">
      <text>
        <t>Opening balance constant for interest-only loans</t>
      </text>
    </comment>
    <comment ref="C172" authorId="0" shapeId="0">
      <text>
        <t>Total interest for 2028: $97,500/month * 12 months</t>
      </text>
    </comment>
    <comment ref="D172" authorId="0" shapeId="0">
      <text>
        <t>Principal = 0 for interest-only loans</t>
      </text>
    </comment>
    <comment ref="E172" authorId="0" shapeId="0">
      <text>
        <t>Closing = Opening - Principal (constant)</t>
      </text>
    </comment>
    <comment ref="B173" authorId="0" shapeId="0">
      <text>
        <t>Opening balance constant for interest-only loans</t>
      </text>
    </comment>
    <comment ref="C173" authorId="0" shapeId="0">
      <text>
        <t>Total interest for 2029: $97,500/month * 12 months</t>
      </text>
    </comment>
    <comment ref="D173" authorId="0" shapeId="0">
      <text>
        <t>Principal = 0 for interest-only loans</t>
      </text>
    </comment>
    <comment ref="E173" authorId="0" shapeId="0">
      <text>
        <t>Closing = Opening - Principal (constant)</t>
      </text>
    </comment>
    <comment ref="B174" authorId="0" shapeId="0">
      <text>
        <t>Opening balance constant for interest-only loans</t>
      </text>
    </comment>
    <comment ref="C174" authorId="0" shapeId="0">
      <text>
        <t>Total interest for 2030: $97,500/month * 8 months</t>
      </text>
    </comment>
    <comment ref="D174" authorId="0" shapeId="0">
      <text>
        <t>Principal = 0 for interest-only loans</t>
      </text>
    </comment>
    <comment ref="E174" authorId="0" shapeId="0">
      <text>
        <t>Closing = Opening - Principal (constant)</t>
      </text>
    </comment>
    <comment ref="B179" authorId="0" shapeId="0">
      <text>
        <t>Links to: Debt Schedule - Opening Balance</t>
      </text>
    </comment>
    <comment ref="C179" authorId="0" shapeId="0">
      <text>
        <t>Links to: Debt Schedule - Opening Balance</t>
      </text>
    </comment>
    <comment ref="D179" authorId="0" shapeId="0">
      <text>
        <t>Links to: Debt Schedule - Opening Balance</t>
      </text>
    </comment>
    <comment ref="E179" authorId="0" shapeId="0">
      <text>
        <t>Reference for Debt Schedule cross-sheet formula</t>
      </text>
    </comment>
    <comment ref="B180" authorId="0" shapeId="0">
      <text>
        <t>Links to: Debt Schedule - Current Portion (0)</t>
      </text>
    </comment>
    <comment ref="C180" authorId="0" shapeId="0">
      <text>
        <t>Links to: Debt Schedule - Current Portion (0)</t>
      </text>
    </comment>
    <comment ref="D180" authorId="0" shapeId="0">
      <text>
        <t>Links to: Debt Schedule - Current Portion (0)</t>
      </text>
    </comment>
    <comment ref="E180" authorId="0" shapeId="0">
      <text>
        <t>Reference for Debt Schedule cross-sheet formula</t>
      </text>
    </comment>
    <comment ref="B181" authorId="0" shapeId="0">
      <text>
        <t>Links to: Debt Schedule - LT Portion (= Balance)</t>
      </text>
    </comment>
    <comment ref="C181" authorId="0" shapeId="0">
      <text>
        <t>Links to: Debt Schedule - LT Portion (= Balance)</t>
      </text>
    </comment>
    <comment ref="D181" authorId="0" shapeId="0">
      <text>
        <t>Links to: Debt Schedule - LT Portion (= Balance)</t>
      </text>
    </comment>
    <comment ref="E181" authorId="0" shapeId="0">
      <text>
        <t>Reference for Debt Schedule cross-sheet formula</t>
      </text>
    </comment>
    <comment ref="B182" authorId="0" shapeId="0">
      <text>
        <t>Links to: Debt Schedule - Annual Interest</t>
      </text>
    </comment>
    <comment ref="C182" authorId="0" shapeId="0">
      <text>
        <t>Links to: Debt Schedule - Annual Interest</t>
      </text>
    </comment>
    <comment ref="D182" authorId="0" shapeId="0">
      <text>
        <t>Links to: Debt Schedule - Annual Interest</t>
      </text>
    </comment>
    <comment ref="E182" authorId="0" shapeId="0">
      <text>
        <t>Reference for Debt Schedule cross-sheet formula</t>
      </text>
    </comment>
  </commentList>
</comments>
</file>

<file path=xl/comments/comment19.xml><?xml version="1.0" encoding="utf-8"?>
<comments xmlns="http://schemas.openxmlformats.org/spreadsheetml/2006/main">
  <authors>
    <author>Model Builder</author>
  </authors>
  <commentList>
    <comment ref="C5" authorId="0" shapeId="0">
      <text>
        <t>Source: loans.md
Win Win Loan 1 - Opening Balance
Extracted: 2025-11</t>
      </text>
    </comment>
    <comment ref="D5" authorId="0" shapeId="0">
      <text>
        <t>Implied rate: $25,000 monthly / $2,500,000 = 12% annual
Source: loans.md</t>
      </text>
    </comment>
    <comment ref="E5" authorId="0" shapeId="0">
      <text>
        <t>Source: loans.md
Monthly Payment: Interest-only</t>
      </text>
    </comment>
    <comment ref="C6" authorId="0" shapeId="0">
      <text>
        <t>Source: loans.md
Win Win Loan 2 - Opening Balance
Extracted: 2025-11</t>
      </text>
    </comment>
    <comment ref="D6" authorId="0" shapeId="0">
      <text>
        <t>Implied rate: $15,000 monthly / $1,500,000 = 12% annual
Source: loans.md</t>
      </text>
    </comment>
    <comment ref="E6" authorId="0" shapeId="0">
      <text>
        <t>Source: loans.md
Monthly Payment: Interest-only</t>
      </text>
    </comment>
    <comment ref="C7" authorId="0" shapeId="0">
      <text>
        <t>Sum of rows 5-6: Landmark &amp; 11th + Race St opening balances</t>
      </text>
    </comment>
    <comment ref="E7" authorId="0" shapeId="0">
      <text>
        <t>Sum of rows 5-6: Combined monthly interest payments</t>
      </text>
    </comment>
    <comment ref="B19" authorId="0" shapeId="0">
      <text>
        <t>Source: loans.md
Win Win Loan 1 Identifier</t>
      </text>
    </comment>
    <comment ref="B21" authorId="0" shapeId="0">
      <text>
        <t>Links to: _WinWin row 5 - Loan 1 Opening Balance</t>
      </text>
    </comment>
    <comment ref="B22" authorId="0" shapeId="0">
      <text>
        <t>Links to: _WinWin row 5 - Loan 1 Annual Rate</t>
      </text>
    </comment>
    <comment ref="B23" authorId="0" shapeId="0">
      <text>
        <t>Links to: _WinWin row 5 - Loan 1 Monthly Payment</t>
      </text>
    </comment>
    <comment ref="C28" authorId="0" shapeId="0">
      <text>
        <t>Loan: Win Win, Landmark &amp; 11th. Source: loans.md</t>
      </text>
    </comment>
    <comment ref="D28" authorId="0" shapeId="0">
      <text>
        <t>Loan: Win Win, Landmark &amp; 11th. Interest-only payment.</t>
      </text>
    </comment>
    <comment ref="E28" authorId="0" shapeId="0">
      <text>
        <t>Loan: Win Win, Landmark &amp; 11th. Principal=0 for interest-only.</t>
      </text>
    </comment>
    <comment ref="F28" authorId="0" shapeId="0">
      <text>
        <t>Loan: Win Win, Landmark &amp; 11th. Balance constant until balloon.</t>
      </text>
    </comment>
    <comment ref="C29" authorId="0" shapeId="0">
      <text>
        <t>Loan: Win Win, Landmark &amp; 11th. Source: loans.md</t>
      </text>
    </comment>
    <comment ref="D29" authorId="0" shapeId="0">
      <text>
        <t>Loan: Win Win, Landmark &amp; 11th. Interest-only payment.</t>
      </text>
    </comment>
    <comment ref="E29" authorId="0" shapeId="0">
      <text>
        <t>Loan: Win Win, Landmark &amp; 11th. Principal=0 for interest-only.</t>
      </text>
    </comment>
    <comment ref="F29" authorId="0" shapeId="0">
      <text>
        <t>Loan: Win Win, Landmark &amp; 11th. Balance constant until balloon.</t>
      </text>
    </comment>
    <comment ref="C30" authorId="0" shapeId="0">
      <text>
        <t>Loan: Win Win, Landmark &amp; 11th. Source: loans.md</t>
      </text>
    </comment>
    <comment ref="D30" authorId="0" shapeId="0">
      <text>
        <t>Loan: Win Win, Landmark &amp; 11th. Interest-only payment.</t>
      </text>
    </comment>
    <comment ref="E30" authorId="0" shapeId="0">
      <text>
        <t>Loan: Win Win, Landmark &amp; 11th. Principal=0 for interest-only.</t>
      </text>
    </comment>
    <comment ref="F30" authorId="0" shapeId="0">
      <text>
        <t>Loan: Win Win, Landmark &amp; 11th. Balance constant until balloon.</t>
      </text>
    </comment>
    <comment ref="C31" authorId="0" shapeId="0">
      <text>
        <t>Loan: Win Win, Landmark &amp; 11th. Source: loans.md</t>
      </text>
    </comment>
    <comment ref="D31" authorId="0" shapeId="0">
      <text>
        <t>Loan: Win Win, Landmark &amp; 11th. Interest-only payment.</t>
      </text>
    </comment>
    <comment ref="E31" authorId="0" shapeId="0">
      <text>
        <t>Loan: Win Win, Landmark &amp; 11th. Principal=0 for interest-only.</t>
      </text>
    </comment>
    <comment ref="F31" authorId="0" shapeId="0">
      <text>
        <t>Loan: Win Win, Landmark &amp; 11th. Balance constant until balloon.</t>
      </text>
    </comment>
    <comment ref="C32" authorId="0" shapeId="0">
      <text>
        <t>Loan: Win Win, Landmark &amp; 11th. Source: loans.md</t>
      </text>
    </comment>
    <comment ref="D32" authorId="0" shapeId="0">
      <text>
        <t>Loan: Win Win, Landmark &amp; 11th. Interest-only payment.</t>
      </text>
    </comment>
    <comment ref="E32" authorId="0" shapeId="0">
      <text>
        <t>Loan: Win Win, Landmark &amp; 11th. Principal=0 for interest-only.</t>
      </text>
    </comment>
    <comment ref="F32" authorId="0" shapeId="0">
      <text>
        <t>Loan: Win Win, Landmark &amp; 11th. Balance constant until balloon.</t>
      </text>
    </comment>
    <comment ref="C33" authorId="0" shapeId="0">
      <text>
        <t>Loan: Win Win, Landmark &amp; 11th. Source: loans.md</t>
      </text>
    </comment>
    <comment ref="D33" authorId="0" shapeId="0">
      <text>
        <t>Loan: Win Win, Landmark &amp; 11th. Interest-only payment.</t>
      </text>
    </comment>
    <comment ref="E33" authorId="0" shapeId="0">
      <text>
        <t>Loan: Win Win, Landmark &amp; 11th. Principal=0 for interest-only.</t>
      </text>
    </comment>
    <comment ref="F33" authorId="0" shapeId="0">
      <text>
        <t>Loan: Win Win, Landmark &amp; 11th. Balance constant until balloon.</t>
      </text>
    </comment>
    <comment ref="C34" authorId="0" shapeId="0">
      <text>
        <t>Loan: Win Win, Landmark &amp; 11th. Source: loans.md</t>
      </text>
    </comment>
    <comment ref="D34" authorId="0" shapeId="0">
      <text>
        <t>Loan: Win Win, Landmark &amp; 11th. Interest-only payment.</t>
      </text>
    </comment>
    <comment ref="E34" authorId="0" shapeId="0">
      <text>
        <t>Loan: Win Win, Landmark &amp; 11th. Principal=0 for interest-only.</t>
      </text>
    </comment>
    <comment ref="F34" authorId="0" shapeId="0">
      <text>
        <t>Loan: Win Win, Landmark &amp; 11th. Balance constant until balloon.</t>
      </text>
    </comment>
    <comment ref="C35" authorId="0" shapeId="0">
      <text>
        <t>Loan: Win Win, Landmark &amp; 11th. Source: loans.md</t>
      </text>
    </comment>
    <comment ref="D35" authorId="0" shapeId="0">
      <text>
        <t>Loan: Win Win, Landmark &amp; 11th. Interest-only payment.</t>
      </text>
    </comment>
    <comment ref="E35" authorId="0" shapeId="0">
      <text>
        <t>Loan: Win Win, Landmark &amp; 11th. Principal=0 for interest-only.</t>
      </text>
    </comment>
    <comment ref="F35" authorId="0" shapeId="0">
      <text>
        <t>Loan: Win Win, Landmark &amp; 11th. Balance constant until balloon.</t>
      </text>
    </comment>
    <comment ref="C36" authorId="0" shapeId="0">
      <text>
        <t>Loan: Win Win, Landmark &amp; 11th. Source: loans.md</t>
      </text>
    </comment>
    <comment ref="D36" authorId="0" shapeId="0">
      <text>
        <t>Loan: Win Win, Landmark &amp; 11th. Interest-only payment.</t>
      </text>
    </comment>
    <comment ref="E36" authorId="0" shapeId="0">
      <text>
        <t>Loan: Win Win, Landmark &amp; 11th. Principal=0 for interest-only.</t>
      </text>
    </comment>
    <comment ref="F36" authorId="0" shapeId="0">
      <text>
        <t>Loan: Win Win, Landmark &amp; 11th. Balance constant until balloon.</t>
      </text>
    </comment>
    <comment ref="C37" authorId="0" shapeId="0">
      <text>
        <t>Loan: Win Win, Landmark &amp; 11th. Source: loans.md</t>
      </text>
    </comment>
    <comment ref="D37" authorId="0" shapeId="0">
      <text>
        <t>Loan: Win Win, Landmark &amp; 11th. Interest-only payment.</t>
      </text>
    </comment>
    <comment ref="E37" authorId="0" shapeId="0">
      <text>
        <t>Loan: Win Win, Landmark &amp; 11th. Principal=0 for interest-only.</t>
      </text>
    </comment>
    <comment ref="F37" authorId="0" shapeId="0">
      <text>
        <t>Loan: Win Win, Landmark &amp; 11th. Balance constant until balloon.</t>
      </text>
    </comment>
    <comment ref="C38" authorId="0" shapeId="0">
      <text>
        <t>Loan: Win Win, Landmark &amp; 11th. Source: loans.md</t>
      </text>
    </comment>
    <comment ref="D38" authorId="0" shapeId="0">
      <text>
        <t>Loan: Win Win, Landmark &amp; 11th. Interest-only payment.</t>
      </text>
    </comment>
    <comment ref="E38" authorId="0" shapeId="0">
      <text>
        <t>Loan: Win Win, Landmark &amp; 11th. Principal=0 for interest-only.</t>
      </text>
    </comment>
    <comment ref="F38" authorId="0" shapeId="0">
      <text>
        <t>Loan: Win Win, Landmark &amp; 11th. Balance constant until balloon.</t>
      </text>
    </comment>
    <comment ref="C39" authorId="0" shapeId="0">
      <text>
        <t>Loan: Win Win, Landmark &amp; 11th. Source: loans.md</t>
      </text>
    </comment>
    <comment ref="D39" authorId="0" shapeId="0">
      <text>
        <t>Loan: Win Win, Landmark &amp; 11th. Interest-only payment.</t>
      </text>
    </comment>
    <comment ref="E39" authorId="0" shapeId="0">
      <text>
        <t>Loan: Win Win, Landmark &amp; 11th. Principal=0 for interest-only.</t>
      </text>
    </comment>
    <comment ref="F39" authorId="0" shapeId="0">
      <text>
        <t>Loan: Win Win, Landmark &amp; 11th. Balance constant until balloon.</t>
      </text>
    </comment>
    <comment ref="C40" authorId="0" shapeId="0">
      <text>
        <t>Loan: Win Win, Landmark &amp; 11th. Source: loans.md</t>
      </text>
    </comment>
    <comment ref="D40" authorId="0" shapeId="0">
      <text>
        <t>Loan: Win Win, Landmark &amp; 11th. Interest-only payment.</t>
      </text>
    </comment>
    <comment ref="E40" authorId="0" shapeId="0">
      <text>
        <t>Loan: Win Win, Landmark &amp; 11th. Principal=0 for interest-only.</t>
      </text>
    </comment>
    <comment ref="F40" authorId="0" shapeId="0">
      <text>
        <t>Loan: Win Win, Landmark &amp; 11th. Balance constant until balloon.</t>
      </text>
    </comment>
    <comment ref="C41" authorId="0" shapeId="0">
      <text>
        <t>Loan: Win Win, Landmark &amp; 11th. Source: loans.md</t>
      </text>
    </comment>
    <comment ref="D41" authorId="0" shapeId="0">
      <text>
        <t>Loan: Win Win, Landmark &amp; 11th. Interest-only payment.</t>
      </text>
    </comment>
    <comment ref="E41" authorId="0" shapeId="0">
      <text>
        <t>Loan: Win Win, Landmark &amp; 11th. Principal=0 for interest-only.</t>
      </text>
    </comment>
    <comment ref="F41" authorId="0" shapeId="0">
      <text>
        <t>Loan: Win Win, Landmark &amp; 11th. Balance constant until balloon.</t>
      </text>
    </comment>
    <comment ref="C42" authorId="0" shapeId="0">
      <text>
        <t>Loan: Win Win, Landmark &amp; 11th. Source: loans.md</t>
      </text>
    </comment>
    <comment ref="D42" authorId="0" shapeId="0">
      <text>
        <t>Loan: Win Win, Landmark &amp; 11th. Interest-only payment.</t>
      </text>
    </comment>
    <comment ref="E42" authorId="0" shapeId="0">
      <text>
        <t>Loan: Win Win, Landmark &amp; 11th. Principal=0 for interest-only.</t>
      </text>
    </comment>
    <comment ref="F42" authorId="0" shapeId="0">
      <text>
        <t>Loan: Win Win, Landmark &amp; 11th. Balance constant until balloon.</t>
      </text>
    </comment>
    <comment ref="C43" authorId="0" shapeId="0">
      <text>
        <t>Loan: Win Win, Landmark &amp; 11th. Source: loans.md</t>
      </text>
    </comment>
    <comment ref="D43" authorId="0" shapeId="0">
      <text>
        <t>Loan: Win Win, Landmark &amp; 11th. Interest-only payment.</t>
      </text>
    </comment>
    <comment ref="E43" authorId="0" shapeId="0">
      <text>
        <t>Loan: Win Win, Landmark &amp; 11th. Principal=0 for interest-only.</t>
      </text>
    </comment>
    <comment ref="F43" authorId="0" shapeId="0">
      <text>
        <t>Loan: Win Win, Landmark &amp; 11th. Balance constant until balloon.</t>
      </text>
    </comment>
    <comment ref="C44" authorId="0" shapeId="0">
      <text>
        <t>Loan: Win Win, Landmark &amp; 11th. Source: loans.md</t>
      </text>
    </comment>
    <comment ref="D44" authorId="0" shapeId="0">
      <text>
        <t>Loan: Win Win, Landmark &amp; 11th. Interest-only payment.</t>
      </text>
    </comment>
    <comment ref="E44" authorId="0" shapeId="0">
      <text>
        <t>Loan: Win Win, Landmark &amp; 11th. Principal=0 for interest-only.</t>
      </text>
    </comment>
    <comment ref="F44" authorId="0" shapeId="0">
      <text>
        <t>Loan: Win Win, Landmark &amp; 11th. Balance constant until balloon.</t>
      </text>
    </comment>
    <comment ref="C45" authorId="0" shapeId="0">
      <text>
        <t>Loan: Win Win, Landmark &amp; 11th. Source: loans.md</t>
      </text>
    </comment>
    <comment ref="D45" authorId="0" shapeId="0">
      <text>
        <t>Loan: Win Win, Landmark &amp; 11th. Interest-only payment.</t>
      </text>
    </comment>
    <comment ref="E45" authorId="0" shapeId="0">
      <text>
        <t>Loan: Win Win, Landmark &amp; 11th. Principal=0 for interest-only.</t>
      </text>
    </comment>
    <comment ref="F45" authorId="0" shapeId="0">
      <text>
        <t>Loan: Win Win, Landmark &amp; 11th. Balance constant until balloon.</t>
      </text>
    </comment>
    <comment ref="C46" authorId="0" shapeId="0">
      <text>
        <t>Loan: Win Win, Landmark &amp; 11th. Source: loans.md</t>
      </text>
    </comment>
    <comment ref="D46" authorId="0" shapeId="0">
      <text>
        <t>Loan: Win Win, Landmark &amp; 11th. Interest-only payment.</t>
      </text>
    </comment>
    <comment ref="E46" authorId="0" shapeId="0">
      <text>
        <t>Loan: Win Win, Landmark &amp; 11th. Principal=0 for interest-only.</t>
      </text>
    </comment>
    <comment ref="F46" authorId="0" shapeId="0">
      <text>
        <t>Loan: Win Win, Landmark &amp; 11th. Balance constant until balloon.</t>
      </text>
    </comment>
    <comment ref="C47" authorId="0" shapeId="0">
      <text>
        <t>Loan: Win Win, Landmark &amp; 11th. Source: loans.md</t>
      </text>
    </comment>
    <comment ref="D47" authorId="0" shapeId="0">
      <text>
        <t>Loan: Win Win, Landmark &amp; 11th. Interest-only payment.</t>
      </text>
    </comment>
    <comment ref="E47" authorId="0" shapeId="0">
      <text>
        <t>Loan: Win Win, Landmark &amp; 11th. Principal=0 for interest-only.</t>
      </text>
    </comment>
    <comment ref="F47" authorId="0" shapeId="0">
      <text>
        <t>Loan: Win Win, Landmark &amp; 11th. Balance constant until balloon.</t>
      </text>
    </comment>
    <comment ref="C48" authorId="0" shapeId="0">
      <text>
        <t>Loan: Win Win, Landmark &amp; 11th. Source: loans.md</t>
      </text>
    </comment>
    <comment ref="D48" authorId="0" shapeId="0">
      <text>
        <t>Loan: Win Win, Landmark &amp; 11th. Interest-only payment.</t>
      </text>
    </comment>
    <comment ref="E48" authorId="0" shapeId="0">
      <text>
        <t>Loan: Win Win, Landmark &amp; 11th. Principal=0 for interest-only.</t>
      </text>
    </comment>
    <comment ref="F48" authorId="0" shapeId="0">
      <text>
        <t>Loan: Win Win, Landmark &amp; 11th. Balance constant until balloon.</t>
      </text>
    </comment>
    <comment ref="C49" authorId="0" shapeId="0">
      <text>
        <t>Loan: Win Win, Landmark &amp; 11th. Source: loans.md</t>
      </text>
    </comment>
    <comment ref="D49" authorId="0" shapeId="0">
      <text>
        <t>Loan: Win Win, Landmark &amp; 11th. Interest-only payment.</t>
      </text>
    </comment>
    <comment ref="E49" authorId="0" shapeId="0">
      <text>
        <t>Loan: Win Win, Landmark &amp; 11th. Principal=0 for interest-only.</t>
      </text>
    </comment>
    <comment ref="F49" authorId="0" shapeId="0">
      <text>
        <t>Loan: Win Win, Landmark &amp; 11th. Balance constant until balloon.</t>
      </text>
    </comment>
    <comment ref="C50" authorId="0" shapeId="0">
      <text>
        <t>Loan: Win Win, Landmark &amp; 11th. Source: loans.md</t>
      </text>
    </comment>
    <comment ref="D50" authorId="0" shapeId="0">
      <text>
        <t>Loan: Win Win, Landmark &amp; 11th. Interest-only payment.</t>
      </text>
    </comment>
    <comment ref="E50" authorId="0" shapeId="0">
      <text>
        <t>Loan: Win Win, Landmark &amp; 11th. Principal=0 for interest-only.</t>
      </text>
    </comment>
    <comment ref="F50" authorId="0" shapeId="0">
      <text>
        <t>Loan: Win Win, Landmark &amp; 11th. Balance constant until balloon.</t>
      </text>
    </comment>
    <comment ref="C51" authorId="0" shapeId="0">
      <text>
        <t>Loan: Win Win, Landmark &amp; 11th. Source: loans.md</t>
      </text>
    </comment>
    <comment ref="D51" authorId="0" shapeId="0">
      <text>
        <t>Loan: Win Win, Landmark &amp; 11th. Interest-only payment.</t>
      </text>
    </comment>
    <comment ref="E51" authorId="0" shapeId="0">
      <text>
        <t>Loan: Win Win, Landmark &amp; 11th. Principal=0 for interest-only.</t>
      </text>
    </comment>
    <comment ref="F51" authorId="0" shapeId="0">
      <text>
        <t>Loan: Win Win, Landmark &amp; 11th. Balance constant until balloon.</t>
      </text>
    </comment>
    <comment ref="D52" authorId="0" shapeId="0">
      <text>
        <t>Sum of rows 28-51: 24-month interest total</t>
      </text>
    </comment>
    <comment ref="E52" authorId="0" shapeId="0">
      <text>
        <t>Sum of rows 28-51: 24-month principal total (should be 0)</t>
      </text>
    </comment>
    <comment ref="B57" authorId="0" shapeId="0">
      <text>
        <t>Source: loans.md
Win Win Loan 2 - ID not provided in source</t>
      </text>
    </comment>
    <comment ref="B59" authorId="0" shapeId="0">
      <text>
        <t>Links to: _WinWin row 6 - Loan 2 Opening Balance</t>
      </text>
    </comment>
    <comment ref="B60" authorId="0" shapeId="0">
      <text>
        <t>Links to: _WinWin row 6 - Loan 2 Annual Rate</t>
      </text>
    </comment>
    <comment ref="B61" authorId="0" shapeId="0">
      <text>
        <t>Links to: _WinWin row 6 - Loan 2 Monthly Payment</t>
      </text>
    </comment>
    <comment ref="C66" authorId="0" shapeId="0">
      <text>
        <t>Loan: Win Win, Race St. Source: loans.md</t>
      </text>
    </comment>
    <comment ref="D66" authorId="0" shapeId="0">
      <text>
        <t>Loan: Win Win, Race St. Interest-only payment.</t>
      </text>
    </comment>
    <comment ref="E66" authorId="0" shapeId="0">
      <text>
        <t>Loan: Win Win, Race St. Principal=0 for interest-only.</t>
      </text>
    </comment>
    <comment ref="F66" authorId="0" shapeId="0">
      <text>
        <t>Loan: Win Win, Race St. Balance constant until balloon.</t>
      </text>
    </comment>
    <comment ref="C67" authorId="0" shapeId="0">
      <text>
        <t>Loan: Win Win, Race St. Source: loans.md</t>
      </text>
    </comment>
    <comment ref="D67" authorId="0" shapeId="0">
      <text>
        <t>Loan: Win Win, Race St. Interest-only payment.</t>
      </text>
    </comment>
    <comment ref="E67" authorId="0" shapeId="0">
      <text>
        <t>Loan: Win Win, Race St. Principal=0 for interest-only.</t>
      </text>
    </comment>
    <comment ref="F67" authorId="0" shapeId="0">
      <text>
        <t>Loan: Win Win, Race St. Balance constant until balloon.</t>
      </text>
    </comment>
    <comment ref="C68" authorId="0" shapeId="0">
      <text>
        <t>Loan: Win Win, Race St. Source: loans.md</t>
      </text>
    </comment>
    <comment ref="D68" authorId="0" shapeId="0">
      <text>
        <t>Loan: Win Win, Race St. Interest-only payment.</t>
      </text>
    </comment>
    <comment ref="E68" authorId="0" shapeId="0">
      <text>
        <t>Loan: Win Win, Race St. Principal=0 for interest-only.</t>
      </text>
    </comment>
    <comment ref="F68" authorId="0" shapeId="0">
      <text>
        <t>Loan: Win Win, Race St. Balance constant until balloon.</t>
      </text>
    </comment>
    <comment ref="C69" authorId="0" shapeId="0">
      <text>
        <t>Loan: Win Win, Race St. Source: loans.md</t>
      </text>
    </comment>
    <comment ref="D69" authorId="0" shapeId="0">
      <text>
        <t>Loan: Win Win, Race St. Interest-only payment.</t>
      </text>
    </comment>
    <comment ref="E69" authorId="0" shapeId="0">
      <text>
        <t>Loan: Win Win, Race St. Principal=0 for interest-only.</t>
      </text>
    </comment>
    <comment ref="F69" authorId="0" shapeId="0">
      <text>
        <t>Loan: Win Win, Race St. Balance constant until balloon.</t>
      </text>
    </comment>
    <comment ref="C70" authorId="0" shapeId="0">
      <text>
        <t>Loan: Win Win, Race St. Source: loans.md</t>
      </text>
    </comment>
    <comment ref="D70" authorId="0" shapeId="0">
      <text>
        <t>Loan: Win Win, Race St. Interest-only payment.</t>
      </text>
    </comment>
    <comment ref="E70" authorId="0" shapeId="0">
      <text>
        <t>Loan: Win Win, Race St. Principal=0 for interest-only.</t>
      </text>
    </comment>
    <comment ref="F70" authorId="0" shapeId="0">
      <text>
        <t>Loan: Win Win, Race St. Balance constant until balloon.</t>
      </text>
    </comment>
    <comment ref="C71" authorId="0" shapeId="0">
      <text>
        <t>Loan: Win Win, Race St. Source: loans.md</t>
      </text>
    </comment>
    <comment ref="D71" authorId="0" shapeId="0">
      <text>
        <t>Loan: Win Win, Race St. Interest-only payment.</t>
      </text>
    </comment>
    <comment ref="E71" authorId="0" shapeId="0">
      <text>
        <t>Loan: Win Win, Race St. Principal=0 for interest-only.</t>
      </text>
    </comment>
    <comment ref="F71" authorId="0" shapeId="0">
      <text>
        <t>Loan: Win Win, Race St. Balance constant until balloon.</t>
      </text>
    </comment>
    <comment ref="C72" authorId="0" shapeId="0">
      <text>
        <t>Loan: Win Win, Race St. Source: loans.md</t>
      </text>
    </comment>
    <comment ref="D72" authorId="0" shapeId="0">
      <text>
        <t>Loan: Win Win, Race St. Interest-only payment.</t>
      </text>
    </comment>
    <comment ref="E72" authorId="0" shapeId="0">
      <text>
        <t>Loan: Win Win, Race St. Principal=0 for interest-only.</t>
      </text>
    </comment>
    <comment ref="F72" authorId="0" shapeId="0">
      <text>
        <t>Loan: Win Win, Race St. Balance constant until balloon.</t>
      </text>
    </comment>
    <comment ref="C73" authorId="0" shapeId="0">
      <text>
        <t>Loan: Win Win, Race St. Source: loans.md</t>
      </text>
    </comment>
    <comment ref="D73" authorId="0" shapeId="0">
      <text>
        <t>Loan: Win Win, Race St. Interest-only payment.</t>
      </text>
    </comment>
    <comment ref="E73" authorId="0" shapeId="0">
      <text>
        <t>Loan: Win Win, Race St. Principal=0 for interest-only.</t>
      </text>
    </comment>
    <comment ref="F73" authorId="0" shapeId="0">
      <text>
        <t>Loan: Win Win, Race St. Balance constant until balloon.</t>
      </text>
    </comment>
    <comment ref="C74" authorId="0" shapeId="0">
      <text>
        <t>Loan: Win Win, Race St. Source: loans.md</t>
      </text>
    </comment>
    <comment ref="D74" authorId="0" shapeId="0">
      <text>
        <t>Loan: Win Win, Race St. Interest-only payment.</t>
      </text>
    </comment>
    <comment ref="E74" authorId="0" shapeId="0">
      <text>
        <t>Loan: Win Win, Race St. Principal=0 for interest-only.</t>
      </text>
    </comment>
    <comment ref="F74" authorId="0" shapeId="0">
      <text>
        <t>Loan: Win Win, Race St. Balance constant until balloon.</t>
      </text>
    </comment>
    <comment ref="C75" authorId="0" shapeId="0">
      <text>
        <t>Loan: Win Win, Race St. Source: loans.md</t>
      </text>
    </comment>
    <comment ref="D75" authorId="0" shapeId="0">
      <text>
        <t>Loan: Win Win, Race St. Interest-only payment.</t>
      </text>
    </comment>
    <comment ref="E75" authorId="0" shapeId="0">
      <text>
        <t>Loan: Win Win, Race St. Principal=0 for interest-only.</t>
      </text>
    </comment>
    <comment ref="F75" authorId="0" shapeId="0">
      <text>
        <t>Loan: Win Win, Race St. Balance constant until balloon.</t>
      </text>
    </comment>
    <comment ref="C76" authorId="0" shapeId="0">
      <text>
        <t>Loan: Win Win, Race St. Source: loans.md</t>
      </text>
    </comment>
    <comment ref="D76" authorId="0" shapeId="0">
      <text>
        <t>Loan: Win Win, Race St. Interest-only payment.</t>
      </text>
    </comment>
    <comment ref="E76" authorId="0" shapeId="0">
      <text>
        <t>Loan: Win Win, Race St. Principal=0 for interest-only.</t>
      </text>
    </comment>
    <comment ref="F76" authorId="0" shapeId="0">
      <text>
        <t>Loan: Win Win, Race St. Balance constant until balloon.</t>
      </text>
    </comment>
    <comment ref="C77" authorId="0" shapeId="0">
      <text>
        <t>Loan: Win Win, Race St. Source: loans.md</t>
      </text>
    </comment>
    <comment ref="D77" authorId="0" shapeId="0">
      <text>
        <t>Loan: Win Win, Race St. Interest-only payment.</t>
      </text>
    </comment>
    <comment ref="E77" authorId="0" shapeId="0">
      <text>
        <t>Loan: Win Win, Race St. Principal=0 for interest-only.</t>
      </text>
    </comment>
    <comment ref="F77" authorId="0" shapeId="0">
      <text>
        <t>Loan: Win Win, Race St. Balance constant until balloon.</t>
      </text>
    </comment>
    <comment ref="C78" authorId="0" shapeId="0">
      <text>
        <t>Loan: Win Win, Race St. Source: loans.md</t>
      </text>
    </comment>
    <comment ref="D78" authorId="0" shapeId="0">
      <text>
        <t>Loan: Win Win, Race St. Interest-only payment.</t>
      </text>
    </comment>
    <comment ref="E78" authorId="0" shapeId="0">
      <text>
        <t>Loan: Win Win, Race St. Principal=0 for interest-only.</t>
      </text>
    </comment>
    <comment ref="F78" authorId="0" shapeId="0">
      <text>
        <t>Loan: Win Win, Race St. Balance constant until balloon.</t>
      </text>
    </comment>
    <comment ref="C79" authorId="0" shapeId="0">
      <text>
        <t>Loan: Win Win, Race St. Source: loans.md</t>
      </text>
    </comment>
    <comment ref="D79" authorId="0" shapeId="0">
      <text>
        <t>Loan: Win Win, Race St. Interest-only payment.</t>
      </text>
    </comment>
    <comment ref="E79" authorId="0" shapeId="0">
      <text>
        <t>Loan: Win Win, Race St. Principal=0 for interest-only.</t>
      </text>
    </comment>
    <comment ref="F79" authorId="0" shapeId="0">
      <text>
        <t>Loan: Win Win, Race St. Balance constant until balloon.</t>
      </text>
    </comment>
    <comment ref="C80" authorId="0" shapeId="0">
      <text>
        <t>Loan: Win Win, Race St. Source: loans.md</t>
      </text>
    </comment>
    <comment ref="D80" authorId="0" shapeId="0">
      <text>
        <t>Loan: Win Win, Race St. Interest-only payment.</t>
      </text>
    </comment>
    <comment ref="E80" authorId="0" shapeId="0">
      <text>
        <t>Loan: Win Win, Race St. Principal=0 for interest-only.</t>
      </text>
    </comment>
    <comment ref="F80" authorId="0" shapeId="0">
      <text>
        <t>Loan: Win Win, Race St. Balance constant until balloon.</t>
      </text>
    </comment>
    <comment ref="C81" authorId="0" shapeId="0">
      <text>
        <t>Loan: Win Win, Race St. Source: loans.md</t>
      </text>
    </comment>
    <comment ref="D81" authorId="0" shapeId="0">
      <text>
        <t>Loan: Win Win, Race St. Interest-only payment.</t>
      </text>
    </comment>
    <comment ref="E81" authorId="0" shapeId="0">
      <text>
        <t>Loan: Win Win, Race St. Principal=0 for interest-only.</t>
      </text>
    </comment>
    <comment ref="F81" authorId="0" shapeId="0">
      <text>
        <t>Loan: Win Win, Race St. Balance constant until balloon.</t>
      </text>
    </comment>
    <comment ref="C82" authorId="0" shapeId="0">
      <text>
        <t>Loan: Win Win, Race St. Source: loans.md</t>
      </text>
    </comment>
    <comment ref="D82" authorId="0" shapeId="0">
      <text>
        <t>Loan: Win Win, Race St. Interest-only payment.</t>
      </text>
    </comment>
    <comment ref="E82" authorId="0" shapeId="0">
      <text>
        <t>Loan: Win Win, Race St. Principal=0 for interest-only.</t>
      </text>
    </comment>
    <comment ref="F82" authorId="0" shapeId="0">
      <text>
        <t>Loan: Win Win, Race St. Balance constant until balloon.</t>
      </text>
    </comment>
    <comment ref="C83" authorId="0" shapeId="0">
      <text>
        <t>Loan: Win Win, Race St. Source: loans.md</t>
      </text>
    </comment>
    <comment ref="D83" authorId="0" shapeId="0">
      <text>
        <t>Loan: Win Win, Race St. Interest-only payment.</t>
      </text>
    </comment>
    <comment ref="E83" authorId="0" shapeId="0">
      <text>
        <t>Loan: Win Win, Race St. Principal=0 for interest-only.</t>
      </text>
    </comment>
    <comment ref="F83" authorId="0" shapeId="0">
      <text>
        <t>Loan: Win Win, Race St. Balance constant until balloon.</t>
      </text>
    </comment>
    <comment ref="C84" authorId="0" shapeId="0">
      <text>
        <t>Loan: Win Win, Race St. Source: loans.md</t>
      </text>
    </comment>
    <comment ref="D84" authorId="0" shapeId="0">
      <text>
        <t>Loan: Win Win, Race St. Interest-only payment.</t>
      </text>
    </comment>
    <comment ref="E84" authorId="0" shapeId="0">
      <text>
        <t>Loan: Win Win, Race St. Principal=0 for interest-only.</t>
      </text>
    </comment>
    <comment ref="F84" authorId="0" shapeId="0">
      <text>
        <t>Loan: Win Win, Race St. Balance constant until balloon.</t>
      </text>
    </comment>
    <comment ref="C85" authorId="0" shapeId="0">
      <text>
        <t>Loan: Win Win, Race St. Source: loans.md</t>
      </text>
    </comment>
    <comment ref="D85" authorId="0" shapeId="0">
      <text>
        <t>Loan: Win Win, Race St. Interest-only payment.</t>
      </text>
    </comment>
    <comment ref="E85" authorId="0" shapeId="0">
      <text>
        <t>Loan: Win Win, Race St. Principal=0 for interest-only.</t>
      </text>
    </comment>
    <comment ref="F85" authorId="0" shapeId="0">
      <text>
        <t>Loan: Win Win, Race St. Balance constant until balloon.</t>
      </text>
    </comment>
    <comment ref="C86" authorId="0" shapeId="0">
      <text>
        <t>Loan: Win Win, Race St. Source: loans.md</t>
      </text>
    </comment>
    <comment ref="D86" authorId="0" shapeId="0">
      <text>
        <t>Loan: Win Win, Race St. Interest-only payment.</t>
      </text>
    </comment>
    <comment ref="E86" authorId="0" shapeId="0">
      <text>
        <t>Loan: Win Win, Race St. Principal=0 for interest-only.</t>
      </text>
    </comment>
    <comment ref="F86" authorId="0" shapeId="0">
      <text>
        <t>Loan: Win Win, Race St. Balance constant until balloon.</t>
      </text>
    </comment>
    <comment ref="C87" authorId="0" shapeId="0">
      <text>
        <t>Loan: Win Win, Race St. Source: loans.md</t>
      </text>
    </comment>
    <comment ref="D87" authorId="0" shapeId="0">
      <text>
        <t>Loan: Win Win, Race St. Interest-only payment.</t>
      </text>
    </comment>
    <comment ref="E87" authorId="0" shapeId="0">
      <text>
        <t>Loan: Win Win, Race St. Principal=0 for interest-only.</t>
      </text>
    </comment>
    <comment ref="F87" authorId="0" shapeId="0">
      <text>
        <t>Loan: Win Win, Race St. Balance constant until balloon.</t>
      </text>
    </comment>
    <comment ref="C88" authorId="0" shapeId="0">
      <text>
        <t>Loan: Win Win, Race St. Source: loans.md</t>
      </text>
    </comment>
    <comment ref="D88" authorId="0" shapeId="0">
      <text>
        <t>Loan: Win Win, Race St. Interest-only payment.</t>
      </text>
    </comment>
    <comment ref="E88" authorId="0" shapeId="0">
      <text>
        <t>Loan: Win Win, Race St. Principal=0 for interest-only.</t>
      </text>
    </comment>
    <comment ref="F88" authorId="0" shapeId="0">
      <text>
        <t>Loan: Win Win, Race St. Balance constant until balloon.</t>
      </text>
    </comment>
    <comment ref="C89" authorId="0" shapeId="0">
      <text>
        <t>Loan: Win Win, Race St. Source: loans.md</t>
      </text>
    </comment>
    <comment ref="D89" authorId="0" shapeId="0">
      <text>
        <t>Loan: Win Win, Race St. Interest-only payment.</t>
      </text>
    </comment>
    <comment ref="E89" authorId="0" shapeId="0">
      <text>
        <t>Loan: Win Win, Race St. Principal=0 for interest-only.</t>
      </text>
    </comment>
    <comment ref="F89" authorId="0" shapeId="0">
      <text>
        <t>Loan: Win Win, Race St. Balance constant until balloon.</t>
      </text>
    </comment>
    <comment ref="D90" authorId="0" shapeId="0">
      <text>
        <t>Sum of rows 66-89: 24-month interest total</t>
      </text>
    </comment>
    <comment ref="E90" authorId="0" shapeId="0">
      <text>
        <t>Sum of rows 66-89: 24-month principal total (should be 0)</t>
      </text>
    </comment>
    <comment ref="C95" authorId="0" shapeId="0">
      <text>
        <t>Links to: _WinWin row 7 - Combined opening balance</t>
      </text>
    </comment>
    <comment ref="C96" authorId="0" shapeId="0">
      <text>
        <t>Links to: _WinWin row 7 - Combined monthly payment</t>
      </text>
    </comment>
    <comment ref="C97" authorId="0" shapeId="0">
      <text>
        <t>Projection: 12 months of interest-only payments</t>
      </text>
    </comment>
    <comment ref="C98" authorId="0" shapeId="0">
      <text>
        <t>Sum of Loan 1 total (row 52) + Loan 2 total (row 90)</t>
      </text>
    </comment>
    <comment ref="C99" authorId="0" shapeId="0">
      <text>
        <t>Should be 0 - interest-only loans</t>
      </text>
    </comment>
    <comment ref="C100" authorId="0" shapeId="0">
      <text>
        <t>Interest-only: balance unchanged from opening</t>
      </text>
    </comment>
    <comment ref="C102" authorId="0" shapeId="0">
      <text>
        <t>Check: must be 0. Non-zero = model error.</t>
      </text>
    </comment>
  </commentList>
</comments>
</file>

<file path=xl/comments/comment2.xml><?xml version="1.0" encoding="utf-8"?>
<comments xmlns="http://schemas.openxmlformats.org/spreadsheetml/2006/main">
  <authors>
    <author>Model Builder</author>
  </authors>
  <commentList>
    <comment ref="B2" authorId="0" shapeId="0">
      <text>
        <t>Source: reader_summary.md
Extracted: May 2026</t>
      </text>
    </comment>
    <comment ref="B7" authorId="0" shapeId="0">
      <text>
        <t>Source: reader_summary.md, Entity Structure section
Extracted: May 2026</t>
      </text>
    </comment>
    <comment ref="E7" authorId="0" shapeId="0">
      <text>
        <t>Transaction overview - update as needed</t>
      </text>
    </comment>
  </commentList>
</comments>
</file>

<file path=xl/comments/comment20.xml><?xml version="1.0" encoding="utf-8"?>
<comments xmlns="http://schemas.openxmlformats.org/spreadsheetml/2006/main">
  <authors>
    <author>Model Builder</author>
  </authors>
  <commentList>
    <comment ref="C6" authorId="0" shapeId="0">
      <text>
        <t>Source: data/loans.md - Atlantic Union Equipment Finance section</t>
      </text>
    </comment>
    <comment ref="C7" authorId="0" shapeId="0">
      <text>
        <t>Source: data/loans.md - Atlantic Union Total Balance: $2,234,738</t>
      </text>
    </comment>
    <comment ref="C8" authorId="0" shapeId="0">
      <text>
        <t>Source: data/loans.md - Atlantic Union Total Monthly: $51,695.05</t>
      </text>
    </comment>
    <comment ref="C11" authorId="0" shapeId="0">
      <text>
        <t>Source: data/loans.md - Atlantic Union Eq Finance, Loan 1</t>
      </text>
    </comment>
    <comment ref="C12" authorId="0" shapeId="0">
      <text>
        <t>Source: data/loans.md - Atlantic Union Eq Finance, Loan 1</t>
      </text>
    </comment>
    <comment ref="C13" authorId="0" shapeId="0">
      <text>
        <t>Source: data/loans.md - Atlantic Union Eq Finance, Loan 1</t>
      </text>
    </comment>
    <comment ref="C14" authorId="0" shapeId="0">
      <text>
        <t>Source: data/loans.md - Atlantic Union Eq Finance, Loan 1</t>
      </text>
    </comment>
    <comment ref="C15" authorId="0" shapeId="0">
      <text>
        <t>Source: data/loans.md - Atlantic Union Eq Finance, Loan 1</t>
      </text>
    </comment>
    <comment ref="C16" authorId="0" shapeId="0">
      <text>
        <t>Source: data/loans.md - Atlantic Union Eq Finance, Loan 1</t>
      </text>
    </comment>
    <comment ref="C17" authorId="0" shapeId="0">
      <text>
        <t>Source: data/loans.md - Atlantic Union Eq Finance, Loan 1</t>
      </text>
    </comment>
    <comment ref="C18" authorId="0" shapeId="0">
      <text>
        <t>Source: data/loans.md - Atlantic Union Eq Finance, Loan 1</t>
      </text>
    </comment>
    <comment ref="C19" authorId="0" shapeId="0">
      <text>
        <t>Source: data/loans.md - Atlantic Union Eq Finance, Loan 1</t>
      </text>
    </comment>
    <comment ref="C20" authorId="0" shapeId="0">
      <text>
        <t>Source: data/loans.md - Atlantic Union Eq Finance, Loan 1</t>
      </text>
    </comment>
    <comment ref="B23" authorId="0" shapeId="0">
      <text>
        <t>AI-generated analysis of loan terms</t>
      </text>
    </comment>
    <comment ref="B24" authorId="0" shapeId="0">
      <text>
        <t>AI-generated analysis of loan terms</t>
      </text>
    </comment>
    <comment ref="B25" authorId="0" shapeId="0">
      <text>
        <t>AI-generated analysis of loan terms</t>
      </text>
    </comment>
    <comment ref="B26" authorId="0" shapeId="0">
      <text>
        <t>AI-generated analysis of loan terms</t>
      </text>
    </comment>
    <comment ref="B27" authorId="0" shapeId="0">
      <text>
        <t>AI-generated analysis of loan terms</t>
      </text>
    </comment>
    <comment ref="C31" authorId="0" shapeId="0">
      <text>
        <t>Links to: Remaining Balance row 18</t>
      </text>
    </comment>
    <comment ref="D31" authorId="0" shapeId="0">
      <text>
        <t>Interest = MAX(0, Opening * Annual Rate / 12). Loan: Atlantic Union, 7 T680 Sleepers (Aug 2023). Source: data/loans.md - Atlantic Union Eq Finance, Loan 1</t>
      </text>
    </comment>
    <comment ref="E31" authorId="0" shapeId="0">
      <text>
        <t>Principal = MAX(0, MIN(Opening, Payment - Interest)). Loan: Atlantic Union, 7 T680 Sleepers (Aug 2023). Source: data/loans.md - Atlantic Union Eq Finance, Loan 1</t>
      </text>
    </comment>
    <comment ref="F31" authorId="0" shapeId="0">
      <text>
        <t>Closing = MAX(0, Opening - Principal). Loan: Atlantic Union, 7 T680 Sleepers (Aug 2023). Source: data/loans.md - Atlantic Union Eq Finance, Loan 1</t>
      </text>
    </comment>
    <comment ref="C32" authorId="0" shapeId="0">
      <text>
        <t>Links to: Previous month closing balance</t>
      </text>
    </comment>
    <comment ref="D32" authorId="0" shapeId="0">
      <text>
        <t>Interest = MAX(0, Opening * Annual Rate / 12). Loan: Atlantic Union, 7 T680 Sleepers (Aug 2023). Source: data/loans.md - Atlantic Union Eq Finance, Loan 1</t>
      </text>
    </comment>
    <comment ref="E32" authorId="0" shapeId="0">
      <text>
        <t>Principal = MAX(0, MIN(Opening, Payment - Interest)). Loan: Atlantic Union, 7 T680 Sleepers (Aug 2023). Source: data/loans.md - Atlantic Union Eq Finance, Loan 1</t>
      </text>
    </comment>
    <comment ref="F32" authorId="0" shapeId="0">
      <text>
        <t>Closing = MAX(0, Opening - Principal). Loan: Atlantic Union, 7 T680 Sleepers (Aug 2023). Source: data/loans.md - Atlantic Union Eq Finance, Loan 1</t>
      </text>
    </comment>
    <comment ref="C33" authorId="0" shapeId="0">
      <text>
        <t>Links to: Previous month closing balance</t>
      </text>
    </comment>
    <comment ref="D33" authorId="0" shapeId="0">
      <text>
        <t>Interest = MAX(0, Opening * Annual Rate / 12). Loan: Atlantic Union, 7 T680 Sleepers (Aug 2023). Source: data/loans.md - Atlantic Union Eq Finance, Loan 1</t>
      </text>
    </comment>
    <comment ref="E33" authorId="0" shapeId="0">
      <text>
        <t>Principal = MAX(0, MIN(Opening, Payment - Interest)). Loan: Atlantic Union, 7 T680 Sleepers (Aug 2023). Source: data/loans.md - Atlantic Union Eq Finance, Loan 1</t>
      </text>
    </comment>
    <comment ref="F33" authorId="0" shapeId="0">
      <text>
        <t>Closing = MAX(0, Opening - Principal). Loan: Atlantic Union, 7 T680 Sleepers (Aug 2023). Source: data/loans.md - Atlantic Union Eq Finance, Loan 1</t>
      </text>
    </comment>
    <comment ref="C34" authorId="0" shapeId="0">
      <text>
        <t>Links to: Previous month closing balance</t>
      </text>
    </comment>
    <comment ref="D34" authorId="0" shapeId="0">
      <text>
        <t>Interest = MAX(0, Opening * Annual Rate / 12). Loan: Atlantic Union, 7 T680 Sleepers (Aug 2023). Source: data/loans.md - Atlantic Union Eq Finance, Loan 1</t>
      </text>
    </comment>
    <comment ref="E34" authorId="0" shapeId="0">
      <text>
        <t>Principal = MAX(0, MIN(Opening, Payment - Interest)). Loan: Atlantic Union, 7 T680 Sleepers (Aug 2023). Source: data/loans.md - Atlantic Union Eq Finance, Loan 1</t>
      </text>
    </comment>
    <comment ref="F34" authorId="0" shapeId="0">
      <text>
        <t>Closing = MAX(0, Opening - Principal). Loan: Atlantic Union, 7 T680 Sleepers (Aug 2023). Source: data/loans.md - Atlantic Union Eq Finance, Loan 1</t>
      </text>
    </comment>
    <comment ref="C35" authorId="0" shapeId="0">
      <text>
        <t>Links to: Previous month closing balance</t>
      </text>
    </comment>
    <comment ref="D35" authorId="0" shapeId="0">
      <text>
        <t>Interest = MAX(0, Opening * Annual Rate / 12). Loan: Atlantic Union, 7 T680 Sleepers (Aug 2023). Source: data/loans.md - Atlantic Union Eq Finance, Loan 1</t>
      </text>
    </comment>
    <comment ref="E35" authorId="0" shapeId="0">
      <text>
        <t>Principal = MAX(0, MIN(Opening, Payment - Interest)). Loan: Atlantic Union, 7 T680 Sleepers (Aug 2023). Source: data/loans.md - Atlantic Union Eq Finance, Loan 1</t>
      </text>
    </comment>
    <comment ref="F35" authorId="0" shapeId="0">
      <text>
        <t>Closing = MAX(0, Opening - Principal). Loan: Atlantic Union, 7 T680 Sleepers (Aug 2023). Source: data/loans.md - Atlantic Union Eq Finance, Loan 1</t>
      </text>
    </comment>
    <comment ref="C36" authorId="0" shapeId="0">
      <text>
        <t>Links to: Previous month closing balance</t>
      </text>
    </comment>
    <comment ref="D36" authorId="0" shapeId="0">
      <text>
        <t>Interest = MAX(0, Opening * Annual Rate / 12). Loan: Atlantic Union, 7 T680 Sleepers (Aug 2023). Source: data/loans.md - Atlantic Union Eq Finance, Loan 1</t>
      </text>
    </comment>
    <comment ref="E36" authorId="0" shapeId="0">
      <text>
        <t>Principal = MAX(0, MIN(Opening, Payment - Interest)). Loan: Atlantic Union, 7 T680 Sleepers (Aug 2023). Source: data/loans.md - Atlantic Union Eq Finance, Loan 1</t>
      </text>
    </comment>
    <comment ref="F36" authorId="0" shapeId="0">
      <text>
        <t>Closing = MAX(0, Opening - Principal). Loan: Atlantic Union, 7 T680 Sleepers (Aug 2023). Source: data/loans.md - Atlantic Union Eq Finance, Loan 1</t>
      </text>
    </comment>
    <comment ref="C37" authorId="0" shapeId="0">
      <text>
        <t>Links to: Previous month closing balance</t>
      </text>
    </comment>
    <comment ref="D37" authorId="0" shapeId="0">
      <text>
        <t>Interest = MAX(0, Opening * Annual Rate / 12). Loan: Atlantic Union, 7 T680 Sleepers (Aug 2023). Source: data/loans.md - Atlantic Union Eq Finance, Loan 1</t>
      </text>
    </comment>
    <comment ref="E37" authorId="0" shapeId="0">
      <text>
        <t>Principal = MAX(0, MIN(Opening, Payment - Interest)). Loan: Atlantic Union, 7 T680 Sleepers (Aug 2023). Source: data/loans.md - Atlantic Union Eq Finance, Loan 1</t>
      </text>
    </comment>
    <comment ref="F37" authorId="0" shapeId="0">
      <text>
        <t>Closing = MAX(0, Opening - Principal). Loan: Atlantic Union, 7 T680 Sleepers (Aug 2023). Source: data/loans.md - Atlantic Union Eq Finance, Loan 1</t>
      </text>
    </comment>
    <comment ref="C38" authorId="0" shapeId="0">
      <text>
        <t>Links to: Previous month closing balance</t>
      </text>
    </comment>
    <comment ref="D38" authorId="0" shapeId="0">
      <text>
        <t>Interest = MAX(0, Opening * Annual Rate / 12). Loan: Atlantic Union, 7 T680 Sleepers (Aug 2023). Source: data/loans.md - Atlantic Union Eq Finance, Loan 1</t>
      </text>
    </comment>
    <comment ref="E38" authorId="0" shapeId="0">
      <text>
        <t>Principal = MAX(0, MIN(Opening, Payment - Interest)). Loan: Atlantic Union, 7 T680 Sleepers (Aug 2023). Source: data/loans.md - Atlantic Union Eq Finance, Loan 1</t>
      </text>
    </comment>
    <comment ref="F38" authorId="0" shapeId="0">
      <text>
        <t>Closing = MAX(0, Opening - Principal). Loan: Atlantic Union, 7 T680 Sleepers (Aug 2023). Source: data/loans.md - Atlantic Union Eq Finance, Loan 1</t>
      </text>
    </comment>
    <comment ref="C39" authorId="0" shapeId="0">
      <text>
        <t>Links to: Previous month closing balance</t>
      </text>
    </comment>
    <comment ref="D39" authorId="0" shapeId="0">
      <text>
        <t>Interest = MAX(0, Opening * Annual Rate / 12). Loan: Atlantic Union, 7 T680 Sleepers (Aug 2023). Source: data/loans.md - Atlantic Union Eq Finance, Loan 1</t>
      </text>
    </comment>
    <comment ref="E39" authorId="0" shapeId="0">
      <text>
        <t>Principal = MAX(0, MIN(Opening, Payment - Interest)). Loan: Atlantic Union, 7 T680 Sleepers (Aug 2023). Source: data/loans.md - Atlantic Union Eq Finance, Loan 1</t>
      </text>
    </comment>
    <comment ref="F39" authorId="0" shapeId="0">
      <text>
        <t>Closing = MAX(0, Opening - Principal). Loan: Atlantic Union, 7 T680 Sleepers (Aug 2023). Source: data/loans.md - Atlantic Union Eq Finance, Loan 1</t>
      </text>
    </comment>
    <comment ref="C40" authorId="0" shapeId="0">
      <text>
        <t>Links to: Previous month closing balance</t>
      </text>
    </comment>
    <comment ref="D40" authorId="0" shapeId="0">
      <text>
        <t>Interest = MAX(0, Opening * Annual Rate / 12). Loan: Atlantic Union, 7 T680 Sleepers (Aug 2023). Source: data/loans.md - Atlantic Union Eq Finance, Loan 1</t>
      </text>
    </comment>
    <comment ref="E40" authorId="0" shapeId="0">
      <text>
        <t>Principal = MAX(0, MIN(Opening, Payment - Interest)). Loan: Atlantic Union, 7 T680 Sleepers (Aug 2023). Source: data/loans.md - Atlantic Union Eq Finance, Loan 1</t>
      </text>
    </comment>
    <comment ref="F40" authorId="0" shapeId="0">
      <text>
        <t>Closing = MAX(0, Opening - Principal). Loan: Atlantic Union, 7 T680 Sleepers (Aug 2023). Source: data/loans.md - Atlantic Union Eq Finance, Loan 1</t>
      </text>
    </comment>
    <comment ref="C41" authorId="0" shapeId="0">
      <text>
        <t>Links to: Previous month closing balance</t>
      </text>
    </comment>
    <comment ref="D41" authorId="0" shapeId="0">
      <text>
        <t>Interest = MAX(0, Opening * Annual Rate / 12). Loan: Atlantic Union, 7 T680 Sleepers (Aug 2023). Source: data/loans.md - Atlantic Union Eq Finance, Loan 1</t>
      </text>
    </comment>
    <comment ref="E41" authorId="0" shapeId="0">
      <text>
        <t>Principal = MAX(0, MIN(Opening, Payment - Interest)). Loan: Atlantic Union, 7 T680 Sleepers (Aug 2023). Source: data/loans.md - Atlantic Union Eq Finance, Loan 1</t>
      </text>
    </comment>
    <comment ref="F41" authorId="0" shapeId="0">
      <text>
        <t>Closing = MAX(0, Opening - Principal). Loan: Atlantic Union, 7 T680 Sleepers (Aug 2023). Source: data/loans.md - Atlantic Union Eq Finance, Loan 1</t>
      </text>
    </comment>
    <comment ref="C42" authorId="0" shapeId="0">
      <text>
        <t>Links to: Previous month closing balance</t>
      </text>
    </comment>
    <comment ref="D42" authorId="0" shapeId="0">
      <text>
        <t>Interest = MAX(0, Opening * Annual Rate / 12). Loan: Atlantic Union, 7 T680 Sleepers (Aug 2023). Source: data/loans.md - Atlantic Union Eq Finance, Loan 1</t>
      </text>
    </comment>
    <comment ref="E42" authorId="0" shapeId="0">
      <text>
        <t>Principal = MAX(0, MIN(Opening, Payment - Interest)). Loan: Atlantic Union, 7 T680 Sleepers (Aug 2023). Source: data/loans.md - Atlantic Union Eq Finance, Loan 1</t>
      </text>
    </comment>
    <comment ref="F42" authorId="0" shapeId="0">
      <text>
        <t>Closing = MAX(0, Opening - Principal). Loan: Atlantic Union, 7 T680 Sleepers (Aug 2023). Source: data/loans.md - Atlantic Union Eq Finance, Loan 1</t>
      </text>
    </comment>
    <comment ref="C43" authorId="0" shapeId="0">
      <text>
        <t>Links to: Previous month closing balance</t>
      </text>
    </comment>
    <comment ref="D43" authorId="0" shapeId="0">
      <text>
        <t>Interest = MAX(0, Opening * Annual Rate / 12). Loan: Atlantic Union, 7 T680 Sleepers (Aug 2023). Source: data/loans.md - Atlantic Union Eq Finance, Loan 1</t>
      </text>
    </comment>
    <comment ref="E43" authorId="0" shapeId="0">
      <text>
        <t>Principal = MAX(0, MIN(Opening, Payment - Interest)). Loan: Atlantic Union, 7 T680 Sleepers (Aug 2023). Source: data/loans.md - Atlantic Union Eq Finance, Loan 1</t>
      </text>
    </comment>
    <comment ref="F43" authorId="0" shapeId="0">
      <text>
        <t>Closing = MAX(0, Opening - Principal). Loan: Atlantic Union, 7 T680 Sleepers (Aug 2023). Source: data/loans.md - Atlantic Union Eq Finance, Loan 1</t>
      </text>
    </comment>
    <comment ref="C44" authorId="0" shapeId="0">
      <text>
        <t>Links to: Previous month closing balance</t>
      </text>
    </comment>
    <comment ref="D44" authorId="0" shapeId="0">
      <text>
        <t>Interest = MAX(0, Opening * Annual Rate / 12). Loan: Atlantic Union, 7 T680 Sleepers (Aug 2023). Source: data/loans.md - Atlantic Union Eq Finance, Loan 1</t>
      </text>
    </comment>
    <comment ref="E44" authorId="0" shapeId="0">
      <text>
        <t>Principal = MAX(0, MIN(Opening, Payment - Interest)). Loan: Atlantic Union, 7 T680 Sleepers (Aug 2023). Source: data/loans.md - Atlantic Union Eq Finance, Loan 1</t>
      </text>
    </comment>
    <comment ref="F44" authorId="0" shapeId="0">
      <text>
        <t>Closing = MAX(0, Opening - Principal). Loan: Atlantic Union, 7 T680 Sleepers (Aug 2023). Source: data/loans.md - Atlantic Union Eq Finance, Loan 1</t>
      </text>
    </comment>
    <comment ref="C45" authorId="0" shapeId="0">
      <text>
        <t>Links to: Previous month closing balance</t>
      </text>
    </comment>
    <comment ref="D45" authorId="0" shapeId="0">
      <text>
        <t>Interest = MAX(0, Opening * Annual Rate / 12). Loan: Atlantic Union, 7 T680 Sleepers (Aug 2023). Source: data/loans.md - Atlantic Union Eq Finance, Loan 1</t>
      </text>
    </comment>
    <comment ref="E45" authorId="0" shapeId="0">
      <text>
        <t>Principal = MAX(0, MIN(Opening, Payment - Interest)). Loan: Atlantic Union, 7 T680 Sleepers (Aug 2023). Source: data/loans.md - Atlantic Union Eq Finance, Loan 1</t>
      </text>
    </comment>
    <comment ref="F45" authorId="0" shapeId="0">
      <text>
        <t>Closing = MAX(0, Opening - Principal). Loan: Atlantic Union, 7 T680 Sleepers (Aug 2023). Source: data/loans.md - Atlantic Union Eq Finance, Loan 1</t>
      </text>
    </comment>
    <comment ref="C46" authorId="0" shapeId="0">
      <text>
        <t>Links to: Previous month closing balance</t>
      </text>
    </comment>
    <comment ref="D46" authorId="0" shapeId="0">
      <text>
        <t>Interest = MAX(0, Opening * Annual Rate / 12). Loan: Atlantic Union, 7 T680 Sleepers (Aug 2023). Source: data/loans.md - Atlantic Union Eq Finance, Loan 1</t>
      </text>
    </comment>
    <comment ref="E46" authorId="0" shapeId="0">
      <text>
        <t>Principal = MAX(0, MIN(Opening, Payment - Interest)). Loan: Atlantic Union, 7 T680 Sleepers (Aug 2023). Source: data/loans.md - Atlantic Union Eq Finance, Loan 1</t>
      </text>
    </comment>
    <comment ref="F46" authorId="0" shapeId="0">
      <text>
        <t>Closing = MAX(0, Opening - Principal). Loan: Atlantic Union, 7 T680 Sleepers (Aug 2023). Source: data/loans.md - Atlantic Union Eq Finance, Loan 1</t>
      </text>
    </comment>
    <comment ref="C47" authorId="0" shapeId="0">
      <text>
        <t>Links to: Previous month closing balance</t>
      </text>
    </comment>
    <comment ref="D47" authorId="0" shapeId="0">
      <text>
        <t>Interest = MAX(0, Opening * Annual Rate / 12). Loan: Atlantic Union, 7 T680 Sleepers (Aug 2023). Source: data/loans.md - Atlantic Union Eq Finance, Loan 1</t>
      </text>
    </comment>
    <comment ref="E47" authorId="0" shapeId="0">
      <text>
        <t>Principal = MAX(0, MIN(Opening, Payment - Interest)). Loan: Atlantic Union, 7 T680 Sleepers (Aug 2023). Source: data/loans.md - Atlantic Union Eq Finance, Loan 1</t>
      </text>
    </comment>
    <comment ref="F47" authorId="0" shapeId="0">
      <text>
        <t>Closing = MAX(0, Opening - Principal). Loan: Atlantic Union, 7 T680 Sleepers (Aug 2023). Source: data/loans.md - Atlantic Union Eq Finance, Loan 1</t>
      </text>
    </comment>
    <comment ref="C48" authorId="0" shapeId="0">
      <text>
        <t>Links to: Previous month closing balance</t>
      </text>
    </comment>
    <comment ref="D48" authorId="0" shapeId="0">
      <text>
        <t>Interest = MAX(0, Opening * Annual Rate / 12). Loan: Atlantic Union, 7 T680 Sleepers (Aug 2023). Source: data/loans.md - Atlantic Union Eq Finance, Loan 1</t>
      </text>
    </comment>
    <comment ref="E48" authorId="0" shapeId="0">
      <text>
        <t>Principal = MAX(0, MIN(Opening, Payment - Interest)). Loan: Atlantic Union, 7 T680 Sleepers (Aug 2023). Source: data/loans.md - Atlantic Union Eq Finance, Loan 1</t>
      </text>
    </comment>
    <comment ref="F48" authorId="0" shapeId="0">
      <text>
        <t>Closing = MAX(0, Opening - Principal). Loan: Atlantic Union, 7 T680 Sleepers (Aug 2023). Source: data/loans.md - Atlantic Union Eq Finance, Loan 1</t>
      </text>
    </comment>
    <comment ref="C49" authorId="0" shapeId="0">
      <text>
        <t>Links to: Previous month closing balance</t>
      </text>
    </comment>
    <comment ref="D49" authorId="0" shapeId="0">
      <text>
        <t>Interest = MAX(0, Opening * Annual Rate / 12). Loan: Atlantic Union, 7 T680 Sleepers (Aug 2023). Source: data/loans.md - Atlantic Union Eq Finance, Loan 1</t>
      </text>
    </comment>
    <comment ref="E49" authorId="0" shapeId="0">
      <text>
        <t>Principal = MAX(0, MIN(Opening, Payment - Interest)). Loan: Atlantic Union, 7 T680 Sleepers (Aug 2023). Source: data/loans.md - Atlantic Union Eq Finance, Loan 1</t>
      </text>
    </comment>
    <comment ref="F49" authorId="0" shapeId="0">
      <text>
        <t>Closing = MAX(0, Opening - Principal). Loan: Atlantic Union, 7 T680 Sleepers (Aug 2023). Source: data/loans.md - Atlantic Union Eq Finance, Loan 1</t>
      </text>
    </comment>
    <comment ref="C50" authorId="0" shapeId="0">
      <text>
        <t>Links to: Previous month closing balance</t>
      </text>
    </comment>
    <comment ref="D50" authorId="0" shapeId="0">
      <text>
        <t>Interest = MAX(0, Opening * Annual Rate / 12). Loan: Atlantic Union, 7 T680 Sleepers (Aug 2023). Source: data/loans.md - Atlantic Union Eq Finance, Loan 1</t>
      </text>
    </comment>
    <comment ref="E50" authorId="0" shapeId="0">
      <text>
        <t>Principal = MAX(0, MIN(Opening, Payment - Interest)). Loan: Atlantic Union, 7 T680 Sleepers (Aug 2023). Source: data/loans.md - Atlantic Union Eq Finance, Loan 1</t>
      </text>
    </comment>
    <comment ref="F50" authorId="0" shapeId="0">
      <text>
        <t>Closing = MAX(0, Opening - Principal). Loan: Atlantic Union, 7 T680 Sleepers (Aug 2023). Source: data/loans.md - Atlantic Union Eq Finance, Loan 1</t>
      </text>
    </comment>
    <comment ref="C51" authorId="0" shapeId="0">
      <text>
        <t>Links to: Previous month closing balance</t>
      </text>
    </comment>
    <comment ref="D51" authorId="0" shapeId="0">
      <text>
        <t>Interest = MAX(0, Opening * Annual Rate / 12). Loan: Atlantic Union, 7 T680 Sleepers (Aug 2023). Source: data/loans.md - Atlantic Union Eq Finance, Loan 1</t>
      </text>
    </comment>
    <comment ref="E51" authorId="0" shapeId="0">
      <text>
        <t>Principal = MAX(0, MIN(Opening, Payment - Interest)). Loan: Atlantic Union, 7 T680 Sleepers (Aug 2023). Source: data/loans.md - Atlantic Union Eq Finance, Loan 1</t>
      </text>
    </comment>
    <comment ref="F51" authorId="0" shapeId="0">
      <text>
        <t>Closing = MAX(0, Opening - Principal). Loan: Atlantic Union, 7 T680 Sleepers (Aug 2023). Source: data/loans.md - Atlantic Union Eq Finance, Loan 1</t>
      </text>
    </comment>
    <comment ref="C52" authorId="0" shapeId="0">
      <text>
        <t>Links to: Previous month closing balance</t>
      </text>
    </comment>
    <comment ref="D52" authorId="0" shapeId="0">
      <text>
        <t>Interest = MAX(0, Opening * Annual Rate / 12). Loan: Atlantic Union, 7 T680 Sleepers (Aug 2023). Source: data/loans.md - Atlantic Union Eq Finance, Loan 1</t>
      </text>
    </comment>
    <comment ref="E52" authorId="0" shapeId="0">
      <text>
        <t>Principal = MAX(0, MIN(Opening, Payment - Interest)). Loan: Atlantic Union, 7 T680 Sleepers (Aug 2023). Source: data/loans.md - Atlantic Union Eq Finance, Loan 1</t>
      </text>
    </comment>
    <comment ref="F52" authorId="0" shapeId="0">
      <text>
        <t>Closing = MAX(0, Opening - Principal). Loan: Atlantic Union, 7 T680 Sleepers (Aug 2023). Source: data/loans.md - Atlantic Union Eq Finance, Loan 1</t>
      </text>
    </comment>
    <comment ref="C53" authorId="0" shapeId="0">
      <text>
        <t>Links to: Previous month closing balance</t>
      </text>
    </comment>
    <comment ref="D53" authorId="0" shapeId="0">
      <text>
        <t>Interest = MAX(0, Opening * Annual Rate / 12). Loan: Atlantic Union, 7 T680 Sleepers (Aug 2023). Source: data/loans.md - Atlantic Union Eq Finance, Loan 1</t>
      </text>
    </comment>
    <comment ref="E53" authorId="0" shapeId="0">
      <text>
        <t>Principal = MAX(0, MIN(Opening, Payment - Interest)). Loan: Atlantic Union, 7 T680 Sleepers (Aug 2023). Source: data/loans.md - Atlantic Union Eq Finance, Loan 1</t>
      </text>
    </comment>
    <comment ref="F53" authorId="0" shapeId="0">
      <text>
        <t>Closing = MAX(0, Opening - Principal). Loan: Atlantic Union, 7 T680 Sleepers (Aug 2023). Source: data/loans.md - Atlantic Union Eq Finance, Loan 1</t>
      </text>
    </comment>
    <comment ref="C54" authorId="0" shapeId="0">
      <text>
        <t>Links to: Previous month closing balance</t>
      </text>
    </comment>
    <comment ref="D54" authorId="0" shapeId="0">
      <text>
        <t>Interest = MAX(0, Opening * Annual Rate / 12). Loan: Atlantic Union, 7 T680 Sleepers (Aug 2023). Source: data/loans.md - Atlantic Union Eq Finance, Loan 1</t>
      </text>
    </comment>
    <comment ref="E54" authorId="0" shapeId="0">
      <text>
        <t>Principal = MAX(0, MIN(Opening, Payment - Interest)). Loan: Atlantic Union, 7 T680 Sleepers (Aug 2023). Source: data/loans.md - Atlantic Union Eq Finance, Loan 1</t>
      </text>
    </comment>
    <comment ref="F54" authorId="0" shapeId="0">
      <text>
        <t>Closing = MAX(0, Opening - Principal). Loan: Atlantic Union, 7 T680 Sleepers (Aug 2023). Source: data/loans.md - Atlantic Union Eq Finance, Loan 1</t>
      </text>
    </comment>
    <comment ref="C55" authorId="0" shapeId="0">
      <text>
        <t>Links to: Previous month closing balance</t>
      </text>
    </comment>
    <comment ref="D55" authorId="0" shapeId="0">
      <text>
        <t>Interest = MAX(0, Opening * Annual Rate / 12). Loan: Atlantic Union, 7 T680 Sleepers (Aug 2023). Source: data/loans.md - Atlantic Union Eq Finance, Loan 1</t>
      </text>
    </comment>
    <comment ref="E55" authorId="0" shapeId="0">
      <text>
        <t>Principal = MAX(0, MIN(Opening, Payment - Interest)). Loan: Atlantic Union, 7 T680 Sleepers (Aug 2023). Source: data/loans.md - Atlantic Union Eq Finance, Loan 1</t>
      </text>
    </comment>
    <comment ref="F55" authorId="0" shapeId="0">
      <text>
        <t>Closing = MAX(0, Opening - Principal). Loan: Atlantic Union, 7 T680 Sleepers (Aug 2023). Source: data/loans.md - Atlantic Union Eq Finance, Loan 1</t>
      </text>
    </comment>
    <comment ref="C56" authorId="0" shapeId="0">
      <text>
        <t>Links to: Previous month closing balance</t>
      </text>
    </comment>
    <comment ref="D56" authorId="0" shapeId="0">
      <text>
        <t>Interest = MAX(0, Opening * Annual Rate / 12). Loan: Atlantic Union, 7 T680 Sleepers (Aug 2023). Source: data/loans.md - Atlantic Union Eq Finance, Loan 1</t>
      </text>
    </comment>
    <comment ref="E56" authorId="0" shapeId="0">
      <text>
        <t>Principal = MAX(0, MIN(Opening, Payment - Interest)). Loan: Atlantic Union, 7 T680 Sleepers (Aug 2023). Source: data/loans.md - Atlantic Union Eq Finance, Loan 1</t>
      </text>
    </comment>
    <comment ref="F56" authorId="0" shapeId="0">
      <text>
        <t>Closing = MAX(0, Opening - Principal). Loan: Atlantic Union, 7 T680 Sleepers (Aug 2023). Source: data/loans.md - Atlantic Union Eq Finance, Loan 1</t>
      </text>
    </comment>
    <comment ref="C57" authorId="0" shapeId="0">
      <text>
        <t>Links to: Previous month closing balance</t>
      </text>
    </comment>
    <comment ref="D57" authorId="0" shapeId="0">
      <text>
        <t>Interest = MAX(0, Opening * Annual Rate / 12). Loan: Atlantic Union, 7 T680 Sleepers (Aug 2023). Source: data/loans.md - Atlantic Union Eq Finance, Loan 1</t>
      </text>
    </comment>
    <comment ref="E57" authorId="0" shapeId="0">
      <text>
        <t>Principal = MAX(0, MIN(Opening, Payment - Interest)). Loan: Atlantic Union, 7 T680 Sleepers (Aug 2023). Source: data/loans.md - Atlantic Union Eq Finance, Loan 1</t>
      </text>
    </comment>
    <comment ref="F57" authorId="0" shapeId="0">
      <text>
        <t>Closing = MAX(0, Opening - Principal). Loan: Atlantic Union, 7 T680 Sleepers (Aug 2023). Source: data/loans.md - Atlantic Union Eq Finance, Loan 1</t>
      </text>
    </comment>
    <comment ref="C58" authorId="0" shapeId="0">
      <text>
        <t>Links to: Previous month closing balance</t>
      </text>
    </comment>
    <comment ref="D58" authorId="0" shapeId="0">
      <text>
        <t>Interest = MAX(0, Opening * Annual Rate / 12). Loan: Atlantic Union, 7 T680 Sleepers (Aug 2023). Source: data/loans.md - Atlantic Union Eq Finance, Loan 1</t>
      </text>
    </comment>
    <comment ref="E58" authorId="0" shapeId="0">
      <text>
        <t>Principal = MAX(0, MIN(Opening, Payment - Interest)). Loan: Atlantic Union, 7 T680 Sleepers (Aug 2023). Source: data/loans.md - Atlantic Union Eq Finance, Loan 1</t>
      </text>
    </comment>
    <comment ref="F58" authorId="0" shapeId="0">
      <text>
        <t>Closing = MAX(0, Opening - Principal). Loan: Atlantic Union, 7 T680 Sleepers (Aug 2023). Source: data/loans.md - Atlantic Union Eq Finance, Loan 1</t>
      </text>
    </comment>
    <comment ref="C59" authorId="0" shapeId="0">
      <text>
        <t>Links to: Previous month closing balance</t>
      </text>
    </comment>
    <comment ref="D59" authorId="0" shapeId="0">
      <text>
        <t>Interest = MAX(0, Opening * Annual Rate / 12). Loan: Atlantic Union, 7 T680 Sleepers (Aug 2023). Source: data/loans.md - Atlantic Union Eq Finance, Loan 1</t>
      </text>
    </comment>
    <comment ref="E59" authorId="0" shapeId="0">
      <text>
        <t>Principal = MAX(0, MIN(Opening, Payment - Interest)). Loan: Atlantic Union, 7 T680 Sleepers (Aug 2023). Source: data/loans.md - Atlantic Union Eq Finance, Loan 1</t>
      </text>
    </comment>
    <comment ref="F59" authorId="0" shapeId="0">
      <text>
        <t>Closing = MAX(0, Opening - Principal). Loan: Atlantic Union, 7 T680 Sleepers (Aug 2023). Source: data/loans.md - Atlantic Union Eq Finance, Loan 1</t>
      </text>
    </comment>
    <comment ref="C60" authorId="0" shapeId="0">
      <text>
        <t>Links to: Previous month closing balance</t>
      </text>
    </comment>
    <comment ref="D60" authorId="0" shapeId="0">
      <text>
        <t>Interest = MAX(0, Opening * Annual Rate / 12). Loan: Atlantic Union, 7 T680 Sleepers (Aug 2023). Source: data/loans.md - Atlantic Union Eq Finance, Loan 1</t>
      </text>
    </comment>
    <comment ref="E60" authorId="0" shapeId="0">
      <text>
        <t>Principal = MAX(0, MIN(Opening, Payment - Interest)). Loan: Atlantic Union, 7 T680 Sleepers (Aug 2023). Source: data/loans.md - Atlantic Union Eq Finance, Loan 1</t>
      </text>
    </comment>
    <comment ref="F60" authorId="0" shapeId="0">
      <text>
        <t>Closing = MAX(0, Opening - Principal). Loan: Atlantic Union, 7 T680 Sleepers (Aug 2023). Source: data/loans.md - Atlantic Union Eq Finance, Loan 1</t>
      </text>
    </comment>
    <comment ref="C61" authorId="0" shapeId="0">
      <text>
        <t>Links to: Previous month closing balance</t>
      </text>
    </comment>
    <comment ref="D61" authorId="0" shapeId="0">
      <text>
        <t>Interest = MAX(0, Opening * Annual Rate / 12). Loan: Atlantic Union, 7 T680 Sleepers (Aug 2023). Source: data/loans.md - Atlantic Union Eq Finance, Loan 1</t>
      </text>
    </comment>
    <comment ref="E61" authorId="0" shapeId="0">
      <text>
        <t>Principal = MAX(0, MIN(Opening, Payment - Interest)). Loan: Atlantic Union, 7 T680 Sleepers (Aug 2023). Source: data/loans.md - Atlantic Union Eq Finance, Loan 1</t>
      </text>
    </comment>
    <comment ref="F61" authorId="0" shapeId="0">
      <text>
        <t>Closing = MAX(0, Opening - Principal). Loan: Atlantic Union, 7 T680 Sleepers (Aug 2023). Source: data/loans.md - Atlantic Union Eq Finance, Loan 1</t>
      </text>
    </comment>
    <comment ref="C62" authorId="0" shapeId="0">
      <text>
        <t>Links to: Previous month closing balance</t>
      </text>
    </comment>
    <comment ref="D62" authorId="0" shapeId="0">
      <text>
        <t>Interest = MAX(0, Opening * Annual Rate / 12). Loan: Atlantic Union, 7 T680 Sleepers (Aug 2023). Source: data/loans.md - Atlantic Union Eq Finance, Loan 1</t>
      </text>
    </comment>
    <comment ref="E62" authorId="0" shapeId="0">
      <text>
        <t>Principal = MAX(0, MIN(Opening, Payment - Interest)). Loan: Atlantic Union, 7 T680 Sleepers (Aug 2023). Source: data/loans.md - Atlantic Union Eq Finance, Loan 1</t>
      </text>
    </comment>
    <comment ref="F62" authorId="0" shapeId="0">
      <text>
        <t>Closing = MAX(0, Opening - Principal). Loan: Atlantic Union, 7 T680 Sleepers (Aug 2023). Source: data/loans.md - Atlantic Union Eq Finance, Loan 1</t>
      </text>
    </comment>
    <comment ref="C63" authorId="0" shapeId="0">
      <text>
        <t>Links to: Previous month closing balance</t>
      </text>
    </comment>
    <comment ref="D63" authorId="0" shapeId="0">
      <text>
        <t>Interest = MAX(0, Opening * Annual Rate / 12). Loan: Atlantic Union, 7 T680 Sleepers (Aug 2023). Source: data/loans.md - Atlantic Union Eq Finance, Loan 1</t>
      </text>
    </comment>
    <comment ref="E63" authorId="0" shapeId="0">
      <text>
        <t>Principal = MAX(0, MIN(Opening, Payment - Interest)). Loan: Atlantic Union, 7 T680 Sleepers (Aug 2023). Source: data/loans.md - Atlantic Union Eq Finance, Loan 1</t>
      </text>
    </comment>
    <comment ref="F63" authorId="0" shapeId="0">
      <text>
        <t>Closing = MAX(0, Opening - Principal). Loan: Atlantic Union, 7 T680 Sleepers (Aug 2023). Source: data/loans.md - Atlantic Union Eq Finance, Loan 1</t>
      </text>
    </comment>
    <comment ref="C64" authorId="0" shapeId="0">
      <text>
        <t>Links to: Previous month closing balance</t>
      </text>
    </comment>
    <comment ref="D64" authorId="0" shapeId="0">
      <text>
        <t>Interest = MAX(0, Opening * Annual Rate / 12). Loan: Atlantic Union, 7 T680 Sleepers (Aug 2023). Source: data/loans.md - Atlantic Union Eq Finance, Loan 1</t>
      </text>
    </comment>
    <comment ref="E64" authorId="0" shapeId="0">
      <text>
        <t>Principal = MAX(0, MIN(Opening, Payment - Interest)). Loan: Atlantic Union, 7 T680 Sleepers (Aug 2023). Source: data/loans.md - Atlantic Union Eq Finance, Loan 1</t>
      </text>
    </comment>
    <comment ref="F64" authorId="0" shapeId="0">
      <text>
        <t>Closing = MAX(0, Opening - Principal). Loan: Atlantic Union, 7 T680 Sleepers (Aug 2023). Source: data/loans.md - Atlantic Union Eq Finance, Loan 1</t>
      </text>
    </comment>
    <comment ref="C65" authorId="0" shapeId="0">
      <text>
        <t>Links to: Previous month closing balance</t>
      </text>
    </comment>
    <comment ref="D65" authorId="0" shapeId="0">
      <text>
        <t>Interest = MAX(0, Opening * Annual Rate / 12). Loan: Atlantic Union, 7 T680 Sleepers (Aug 2023). Source: data/loans.md - Atlantic Union Eq Finance, Loan 1</t>
      </text>
    </comment>
    <comment ref="E65" authorId="0" shapeId="0">
      <text>
        <t>Principal = MAX(0, MIN(Opening, Payment - Interest)). Loan: Atlantic Union, 7 T680 Sleepers (Aug 2023). Source: data/loans.md - Atlantic Union Eq Finance, Loan 1</t>
      </text>
    </comment>
    <comment ref="F65" authorId="0" shapeId="0">
      <text>
        <t>Closing = MAX(0, Opening - Principal). Loan: Atlantic Union, 7 T680 Sleepers (Aug 2023). Source: data/loans.md - Atlantic Union Eq Finance, Loan 1</t>
      </text>
    </comment>
    <comment ref="C66" authorId="0" shapeId="0">
      <text>
        <t>Links to: Previous month closing balance</t>
      </text>
    </comment>
    <comment ref="D66" authorId="0" shapeId="0">
      <text>
        <t>Interest = MAX(0, Opening * Annual Rate / 12). Loan: Atlantic Union, 7 T680 Sleepers (Aug 2023). Source: data/loans.md - Atlantic Union Eq Finance, Loan 1</t>
      </text>
    </comment>
    <comment ref="E66" authorId="0" shapeId="0">
      <text>
        <t>Principal = MAX(0, MIN(Opening, Payment - Interest)). Loan: Atlantic Union, 7 T680 Sleepers (Aug 2023). Source: data/loans.md - Atlantic Union Eq Finance, Loan 1</t>
      </text>
    </comment>
    <comment ref="F66" authorId="0" shapeId="0">
      <text>
        <t>Closing = MAX(0, Opening - Principal). Loan: Atlantic Union, 7 T680 Sleepers (Aug 2023). Source: data/loans.md - Atlantic Union Eq Finance, Loan 1</t>
      </text>
    </comment>
    <comment ref="C67" authorId="0" shapeId="0">
      <text>
        <t>Links to: Previous month closing balance</t>
      </text>
    </comment>
    <comment ref="D67" authorId="0" shapeId="0">
      <text>
        <t>Interest = MAX(0, Opening * Annual Rate / 12). Loan: Atlantic Union, 7 T680 Sleepers (Aug 2023). Source: data/loans.md - Atlantic Union Eq Finance, Loan 1</t>
      </text>
    </comment>
    <comment ref="E67" authorId="0" shapeId="0">
      <text>
        <t>Principal = MAX(0, MIN(Opening, Payment - Interest)). Loan: Atlantic Union, 7 T680 Sleepers (Aug 2023). Source: data/loans.md - Atlantic Union Eq Finance, Loan 1</t>
      </text>
    </comment>
    <comment ref="F67" authorId="0" shapeId="0">
      <text>
        <t>Closing = MAX(0, Opening - Principal). Loan: Atlantic Union, 7 T680 Sleepers (Aug 2023). Source: data/loans.md - Atlantic Union Eq Finance, Loan 1</t>
      </text>
    </comment>
    <comment ref="C68" authorId="0" shapeId="0">
      <text>
        <t>Links to: Previous month closing balance</t>
      </text>
    </comment>
    <comment ref="D68" authorId="0" shapeId="0">
      <text>
        <t>Interest = MAX(0, Opening * Annual Rate / 12). Loan: Atlantic Union, 7 T680 Sleepers (Aug 2023). Source: data/loans.md - Atlantic Union Eq Finance, Loan 1</t>
      </text>
    </comment>
    <comment ref="E68" authorId="0" shapeId="0">
      <text>
        <t>Principal = MAX(0, MIN(Opening, Payment - Interest)). Loan: Atlantic Union, 7 T680 Sleepers (Aug 2023). Source: data/loans.md - Atlantic Union Eq Finance, Loan 1</t>
      </text>
    </comment>
    <comment ref="F68" authorId="0" shapeId="0">
      <text>
        <t>Closing = MAX(0, Opening - Principal). Loan: Atlantic Union, 7 T680 Sleepers (Aug 2023). Source: data/loans.md - Atlantic Union Eq Finance, Loan 1</t>
      </text>
    </comment>
    <comment ref="C69" authorId="0" shapeId="0">
      <text>
        <t>Links to: Previous month closing balance</t>
      </text>
    </comment>
    <comment ref="D69" authorId="0" shapeId="0">
      <text>
        <t>Interest = MAX(0, Opening * Annual Rate / 12). Loan: Atlantic Union, 7 T680 Sleepers (Aug 2023). Source: data/loans.md - Atlantic Union Eq Finance, Loan 1</t>
      </text>
    </comment>
    <comment ref="E69" authorId="0" shapeId="0">
      <text>
        <t>Principal = MAX(0, MIN(Opening, Payment - Interest)). Loan: Atlantic Union, 7 T680 Sleepers (Aug 2023). Source: data/loans.md - Atlantic Union Eq Finance, Loan 1</t>
      </text>
    </comment>
    <comment ref="F69" authorId="0" shapeId="0">
      <text>
        <t>Closing = MAX(0, Opening - Principal). Loan: Atlantic Union, 7 T680 Sleepers (Aug 2023). Source: data/loans.md - Atlantic Union Eq Finance, Loan 1</t>
      </text>
    </comment>
    <comment ref="C70" authorId="0" shapeId="0">
      <text>
        <t>Links to: Previous month closing balance</t>
      </text>
    </comment>
    <comment ref="D70" authorId="0" shapeId="0">
      <text>
        <t>Interest = MAX(0, Opening * Annual Rate / 12). Loan: Atlantic Union, 7 T680 Sleepers (Aug 2023). Source: data/loans.md - Atlantic Union Eq Finance, Loan 1</t>
      </text>
    </comment>
    <comment ref="E70" authorId="0" shapeId="0">
      <text>
        <t>Principal = MAX(0, MIN(Opening, Payment - Interest)). Loan: Atlantic Union, 7 T680 Sleepers (Aug 2023). Source: data/loans.md - Atlantic Union Eq Finance, Loan 1</t>
      </text>
    </comment>
    <comment ref="F70" authorId="0" shapeId="0">
      <text>
        <t>Closing = MAX(0, Opening - Principal). Loan: Atlantic Union, 7 T680 Sleepers (Aug 2023). Source: data/loans.md - Atlantic Union Eq Finance, Loan 1</t>
      </text>
    </comment>
    <comment ref="C74" authorId="0" shapeId="0">
      <text>
        <t>Source: data/loans.md - Atlantic Union Eq Finance, Loan 2</t>
      </text>
    </comment>
    <comment ref="C75" authorId="0" shapeId="0">
      <text>
        <t>Source: data/loans.md - Atlantic Union Eq Finance, Loan 2</t>
      </text>
    </comment>
    <comment ref="C76" authorId="0" shapeId="0">
      <text>
        <t>Source: data/loans.md - Atlantic Union Eq Finance, Loan 2</t>
      </text>
    </comment>
    <comment ref="C77" authorId="0" shapeId="0">
      <text>
        <t>Source: data/loans.md - Atlantic Union Eq Finance, Loan 2</t>
      </text>
    </comment>
    <comment ref="C78" authorId="0" shapeId="0">
      <text>
        <t>Source: data/loans.md - Atlantic Union Eq Finance, Loan 2</t>
      </text>
    </comment>
    <comment ref="C79" authorId="0" shapeId="0">
      <text>
        <t>Source: data/loans.md - Atlantic Union Eq Finance, Loan 2</t>
      </text>
    </comment>
    <comment ref="C80" authorId="0" shapeId="0">
      <text>
        <t>Source: data/loans.md - Atlantic Union Eq Finance, Loan 2</t>
      </text>
    </comment>
    <comment ref="C81" authorId="0" shapeId="0">
      <text>
        <t>Source: data/loans.md - Atlantic Union Eq Finance, Loan 2</t>
      </text>
    </comment>
    <comment ref="C82" authorId="0" shapeId="0">
      <text>
        <t>Source: data/loans.md - Atlantic Union Eq Finance, Loan 2</t>
      </text>
    </comment>
    <comment ref="C83" authorId="0" shapeId="0">
      <text>
        <t>Source: data/loans.md - Atlantic Union Eq Finance, Loan 2</t>
      </text>
    </comment>
    <comment ref="B86" authorId="0" shapeId="0">
      <text>
        <t>AI-generated analysis of loan terms</t>
      </text>
    </comment>
    <comment ref="B87" authorId="0" shapeId="0">
      <text>
        <t>AI-generated analysis of loan terms</t>
      </text>
    </comment>
    <comment ref="B88" authorId="0" shapeId="0">
      <text>
        <t>AI-generated analysis of loan terms</t>
      </text>
    </comment>
    <comment ref="B89" authorId="0" shapeId="0">
      <text>
        <t>AI-generated analysis of loan terms</t>
      </text>
    </comment>
    <comment ref="B90" authorId="0" shapeId="0">
      <text>
        <t>AI-generated analysis of loan terms</t>
      </text>
    </comment>
    <comment ref="C94" authorId="0" shapeId="0">
      <text>
        <t>Links to: Remaining Balance row 81</t>
      </text>
    </comment>
    <comment ref="D94" authorId="0" shapeId="0">
      <text>
        <t>Interest = MAX(0, Opening * Annual Rate / 12). Loan: Atlantic Union, 3 T680 Sleepers (Oct 2023). Source: data/loans.md - Atlantic Union Eq Finance, Loan 2</t>
      </text>
    </comment>
    <comment ref="E94" authorId="0" shapeId="0">
      <text>
        <t>Principal = MAX(0, MIN(Opening, Payment - Interest)). Loan: Atlantic Union, 3 T680 Sleepers (Oct 2023). Source: data/loans.md - Atlantic Union Eq Finance, Loan 2</t>
      </text>
    </comment>
    <comment ref="F94" authorId="0" shapeId="0">
      <text>
        <t>Closing = MAX(0, Opening - Principal). Loan: Atlantic Union, 3 T680 Sleepers (Oct 2023). Source: data/loans.md - Atlantic Union Eq Finance, Loan 2</t>
      </text>
    </comment>
    <comment ref="C95" authorId="0" shapeId="0">
      <text>
        <t>Links to: Previous month closing balance</t>
      </text>
    </comment>
    <comment ref="D95" authorId="0" shapeId="0">
      <text>
        <t>Interest = MAX(0, Opening * Annual Rate / 12). Loan: Atlantic Union, 3 T680 Sleepers (Oct 2023). Source: data/loans.md - Atlantic Union Eq Finance, Loan 2</t>
      </text>
    </comment>
    <comment ref="E95" authorId="0" shapeId="0">
      <text>
        <t>Principal = MAX(0, MIN(Opening, Payment - Interest)). Loan: Atlantic Union, 3 T680 Sleepers (Oct 2023). Source: data/loans.md - Atlantic Union Eq Finance, Loan 2</t>
      </text>
    </comment>
    <comment ref="F95" authorId="0" shapeId="0">
      <text>
        <t>Closing = MAX(0, Opening - Principal). Loan: Atlantic Union, 3 T680 Sleepers (Oct 2023). Source: data/loans.md - Atlantic Union Eq Finance, Loan 2</t>
      </text>
    </comment>
    <comment ref="C96" authorId="0" shapeId="0">
      <text>
        <t>Links to: Previous month closing balance</t>
      </text>
    </comment>
    <comment ref="D96" authorId="0" shapeId="0">
      <text>
        <t>Interest = MAX(0, Opening * Annual Rate / 12). Loan: Atlantic Union, 3 T680 Sleepers (Oct 2023). Source: data/loans.md - Atlantic Union Eq Finance, Loan 2</t>
      </text>
    </comment>
    <comment ref="E96" authorId="0" shapeId="0">
      <text>
        <t>Principal = MAX(0, MIN(Opening, Payment - Interest)). Loan: Atlantic Union, 3 T680 Sleepers (Oct 2023). Source: data/loans.md - Atlantic Union Eq Finance, Loan 2</t>
      </text>
    </comment>
    <comment ref="F96" authorId="0" shapeId="0">
      <text>
        <t>Closing = MAX(0, Opening - Principal). Loan: Atlantic Union, 3 T680 Sleepers (Oct 2023). Source: data/loans.md - Atlantic Union Eq Finance, Loan 2</t>
      </text>
    </comment>
    <comment ref="C97" authorId="0" shapeId="0">
      <text>
        <t>Links to: Previous month closing balance</t>
      </text>
    </comment>
    <comment ref="D97" authorId="0" shapeId="0">
      <text>
        <t>Interest = MAX(0, Opening * Annual Rate / 12). Loan: Atlantic Union, 3 T680 Sleepers (Oct 2023). Source: data/loans.md - Atlantic Union Eq Finance, Loan 2</t>
      </text>
    </comment>
    <comment ref="E97" authorId="0" shapeId="0">
      <text>
        <t>Principal = MAX(0, MIN(Opening, Payment - Interest)). Loan: Atlantic Union, 3 T680 Sleepers (Oct 2023). Source: data/loans.md - Atlantic Union Eq Finance, Loan 2</t>
      </text>
    </comment>
    <comment ref="F97" authorId="0" shapeId="0">
      <text>
        <t>Closing = MAX(0, Opening - Principal). Loan: Atlantic Union, 3 T680 Sleepers (Oct 2023). Source: data/loans.md - Atlantic Union Eq Finance, Loan 2</t>
      </text>
    </comment>
    <comment ref="C98" authorId="0" shapeId="0">
      <text>
        <t>Links to: Previous month closing balance</t>
      </text>
    </comment>
    <comment ref="D98" authorId="0" shapeId="0">
      <text>
        <t>Interest = MAX(0, Opening * Annual Rate / 12). Loan: Atlantic Union, 3 T680 Sleepers (Oct 2023). Source: data/loans.md - Atlantic Union Eq Finance, Loan 2</t>
      </text>
    </comment>
    <comment ref="E98" authorId="0" shapeId="0">
      <text>
        <t>Principal = MAX(0, MIN(Opening, Payment - Interest)). Loan: Atlantic Union, 3 T680 Sleepers (Oct 2023). Source: data/loans.md - Atlantic Union Eq Finance, Loan 2</t>
      </text>
    </comment>
    <comment ref="F98" authorId="0" shapeId="0">
      <text>
        <t>Closing = MAX(0, Opening - Principal). Loan: Atlantic Union, 3 T680 Sleepers (Oct 2023). Source: data/loans.md - Atlantic Union Eq Finance, Loan 2</t>
      </text>
    </comment>
    <comment ref="C99" authorId="0" shapeId="0">
      <text>
        <t>Links to: Previous month closing balance</t>
      </text>
    </comment>
    <comment ref="D99" authorId="0" shapeId="0">
      <text>
        <t>Interest = MAX(0, Opening * Annual Rate / 12). Loan: Atlantic Union, 3 T680 Sleepers (Oct 2023). Source: data/loans.md - Atlantic Union Eq Finance, Loan 2</t>
      </text>
    </comment>
    <comment ref="E99" authorId="0" shapeId="0">
      <text>
        <t>Principal = MAX(0, MIN(Opening, Payment - Interest)). Loan: Atlantic Union, 3 T680 Sleepers (Oct 2023). Source: data/loans.md - Atlantic Union Eq Finance, Loan 2</t>
      </text>
    </comment>
    <comment ref="F99" authorId="0" shapeId="0">
      <text>
        <t>Closing = MAX(0, Opening - Principal). Loan: Atlantic Union, 3 T680 Sleepers (Oct 2023). Source: data/loans.md - Atlantic Union Eq Finance, Loan 2</t>
      </text>
    </comment>
    <comment ref="C100" authorId="0" shapeId="0">
      <text>
        <t>Links to: Previous month closing balance</t>
      </text>
    </comment>
    <comment ref="D100" authorId="0" shapeId="0">
      <text>
        <t>Interest = MAX(0, Opening * Annual Rate / 12). Loan: Atlantic Union, 3 T680 Sleepers (Oct 2023). Source: data/loans.md - Atlantic Union Eq Finance, Loan 2</t>
      </text>
    </comment>
    <comment ref="E100" authorId="0" shapeId="0">
      <text>
        <t>Principal = MAX(0, MIN(Opening, Payment - Interest)). Loan: Atlantic Union, 3 T680 Sleepers (Oct 2023). Source: data/loans.md - Atlantic Union Eq Finance, Loan 2</t>
      </text>
    </comment>
    <comment ref="F100" authorId="0" shapeId="0">
      <text>
        <t>Closing = MAX(0, Opening - Principal). Loan: Atlantic Union, 3 T680 Sleepers (Oct 2023). Source: data/loans.md - Atlantic Union Eq Finance, Loan 2</t>
      </text>
    </comment>
    <comment ref="C101" authorId="0" shapeId="0">
      <text>
        <t>Links to: Previous month closing balance</t>
      </text>
    </comment>
    <comment ref="D101" authorId="0" shapeId="0">
      <text>
        <t>Interest = MAX(0, Opening * Annual Rate / 12). Loan: Atlantic Union, 3 T680 Sleepers (Oct 2023). Source: data/loans.md - Atlantic Union Eq Finance, Loan 2</t>
      </text>
    </comment>
    <comment ref="E101" authorId="0" shapeId="0">
      <text>
        <t>Principal = MAX(0, MIN(Opening, Payment - Interest)). Loan: Atlantic Union, 3 T680 Sleepers (Oct 2023). Source: data/loans.md - Atlantic Union Eq Finance, Loan 2</t>
      </text>
    </comment>
    <comment ref="F101" authorId="0" shapeId="0">
      <text>
        <t>Closing = MAX(0, Opening - Principal). Loan: Atlantic Union, 3 T680 Sleepers (Oct 2023). Source: data/loans.md - Atlantic Union Eq Finance, Loan 2</t>
      </text>
    </comment>
    <comment ref="C102" authorId="0" shapeId="0">
      <text>
        <t>Links to: Previous month closing balance</t>
      </text>
    </comment>
    <comment ref="D102" authorId="0" shapeId="0">
      <text>
        <t>Interest = MAX(0, Opening * Annual Rate / 12). Loan: Atlantic Union, 3 T680 Sleepers (Oct 2023). Source: data/loans.md - Atlantic Union Eq Finance, Loan 2</t>
      </text>
    </comment>
    <comment ref="E102" authorId="0" shapeId="0">
      <text>
        <t>Principal = MAX(0, MIN(Opening, Payment - Interest)). Loan: Atlantic Union, 3 T680 Sleepers (Oct 2023). Source: data/loans.md - Atlantic Union Eq Finance, Loan 2</t>
      </text>
    </comment>
    <comment ref="F102" authorId="0" shapeId="0">
      <text>
        <t>Closing = MAX(0, Opening - Principal). Loan: Atlantic Union, 3 T680 Sleepers (Oct 2023). Source: data/loans.md - Atlantic Union Eq Finance, Loan 2</t>
      </text>
    </comment>
    <comment ref="C103" authorId="0" shapeId="0">
      <text>
        <t>Links to: Previous month closing balance</t>
      </text>
    </comment>
    <comment ref="D103" authorId="0" shapeId="0">
      <text>
        <t>Interest = MAX(0, Opening * Annual Rate / 12). Loan: Atlantic Union, 3 T680 Sleepers (Oct 2023). Source: data/loans.md - Atlantic Union Eq Finance, Loan 2</t>
      </text>
    </comment>
    <comment ref="E103" authorId="0" shapeId="0">
      <text>
        <t>Principal = MAX(0, MIN(Opening, Payment - Interest)). Loan: Atlantic Union, 3 T680 Sleepers (Oct 2023). Source: data/loans.md - Atlantic Union Eq Finance, Loan 2</t>
      </text>
    </comment>
    <comment ref="F103" authorId="0" shapeId="0">
      <text>
        <t>Closing = MAX(0, Opening - Principal). Loan: Atlantic Union, 3 T680 Sleepers (Oct 2023). Source: data/loans.md - Atlantic Union Eq Finance, Loan 2</t>
      </text>
    </comment>
    <comment ref="C104" authorId="0" shapeId="0">
      <text>
        <t>Links to: Previous month closing balance</t>
      </text>
    </comment>
    <comment ref="D104" authorId="0" shapeId="0">
      <text>
        <t>Interest = MAX(0, Opening * Annual Rate / 12). Loan: Atlantic Union, 3 T680 Sleepers (Oct 2023). Source: data/loans.md - Atlantic Union Eq Finance, Loan 2</t>
      </text>
    </comment>
    <comment ref="E104" authorId="0" shapeId="0">
      <text>
        <t>Principal = MAX(0, MIN(Opening, Payment - Interest)). Loan: Atlantic Union, 3 T680 Sleepers (Oct 2023). Source: data/loans.md - Atlantic Union Eq Finance, Loan 2</t>
      </text>
    </comment>
    <comment ref="F104" authorId="0" shapeId="0">
      <text>
        <t>Closing = MAX(0, Opening - Principal). Loan: Atlantic Union, 3 T680 Sleepers (Oct 2023). Source: data/loans.md - Atlantic Union Eq Finance, Loan 2</t>
      </text>
    </comment>
    <comment ref="C105" authorId="0" shapeId="0">
      <text>
        <t>Links to: Previous month closing balance</t>
      </text>
    </comment>
    <comment ref="D105" authorId="0" shapeId="0">
      <text>
        <t>Interest = MAX(0, Opening * Annual Rate / 12). Loan: Atlantic Union, 3 T680 Sleepers (Oct 2023). Source: data/loans.md - Atlantic Union Eq Finance, Loan 2</t>
      </text>
    </comment>
    <comment ref="E105" authorId="0" shapeId="0">
      <text>
        <t>Principal = MAX(0, MIN(Opening, Payment - Interest)). Loan: Atlantic Union, 3 T680 Sleepers (Oct 2023). Source: data/loans.md - Atlantic Union Eq Finance, Loan 2</t>
      </text>
    </comment>
    <comment ref="F105" authorId="0" shapeId="0">
      <text>
        <t>Closing = MAX(0, Opening - Principal). Loan: Atlantic Union, 3 T680 Sleepers (Oct 2023). Source: data/loans.md - Atlantic Union Eq Finance, Loan 2</t>
      </text>
    </comment>
    <comment ref="C106" authorId="0" shapeId="0">
      <text>
        <t>Links to: Previous month closing balance</t>
      </text>
    </comment>
    <comment ref="D106" authorId="0" shapeId="0">
      <text>
        <t>Interest = MAX(0, Opening * Annual Rate / 12). Loan: Atlantic Union, 3 T680 Sleepers (Oct 2023). Source: data/loans.md - Atlantic Union Eq Finance, Loan 2</t>
      </text>
    </comment>
    <comment ref="E106" authorId="0" shapeId="0">
      <text>
        <t>Principal = MAX(0, MIN(Opening, Payment - Interest)). Loan: Atlantic Union, 3 T680 Sleepers (Oct 2023). Source: data/loans.md - Atlantic Union Eq Finance, Loan 2</t>
      </text>
    </comment>
    <comment ref="F106" authorId="0" shapeId="0">
      <text>
        <t>Closing = MAX(0, Opening - Principal). Loan: Atlantic Union, 3 T680 Sleepers (Oct 2023). Source: data/loans.md - Atlantic Union Eq Finance, Loan 2</t>
      </text>
    </comment>
    <comment ref="C107" authorId="0" shapeId="0">
      <text>
        <t>Links to: Previous month closing balance</t>
      </text>
    </comment>
    <comment ref="D107" authorId="0" shapeId="0">
      <text>
        <t>Interest = MAX(0, Opening * Annual Rate / 12). Loan: Atlantic Union, 3 T680 Sleepers (Oct 2023). Source: data/loans.md - Atlantic Union Eq Finance, Loan 2</t>
      </text>
    </comment>
    <comment ref="E107" authorId="0" shapeId="0">
      <text>
        <t>Principal = MAX(0, MIN(Opening, Payment - Interest)). Loan: Atlantic Union, 3 T680 Sleepers (Oct 2023). Source: data/loans.md - Atlantic Union Eq Finance, Loan 2</t>
      </text>
    </comment>
    <comment ref="F107" authorId="0" shapeId="0">
      <text>
        <t>Closing = MAX(0, Opening - Principal). Loan: Atlantic Union, 3 T680 Sleepers (Oct 2023). Source: data/loans.md - Atlantic Union Eq Finance, Loan 2</t>
      </text>
    </comment>
    <comment ref="C108" authorId="0" shapeId="0">
      <text>
        <t>Links to: Previous month closing balance</t>
      </text>
    </comment>
    <comment ref="D108" authorId="0" shapeId="0">
      <text>
        <t>Interest = MAX(0, Opening * Annual Rate / 12). Loan: Atlantic Union, 3 T680 Sleepers (Oct 2023). Source: data/loans.md - Atlantic Union Eq Finance, Loan 2</t>
      </text>
    </comment>
    <comment ref="E108" authorId="0" shapeId="0">
      <text>
        <t>Principal = MAX(0, MIN(Opening, Payment - Interest)). Loan: Atlantic Union, 3 T680 Sleepers (Oct 2023). Source: data/loans.md - Atlantic Union Eq Finance, Loan 2</t>
      </text>
    </comment>
    <comment ref="F108" authorId="0" shapeId="0">
      <text>
        <t>Closing = MAX(0, Opening - Principal). Loan: Atlantic Union, 3 T680 Sleepers (Oct 2023). Source: data/loans.md - Atlantic Union Eq Finance, Loan 2</t>
      </text>
    </comment>
    <comment ref="C109" authorId="0" shapeId="0">
      <text>
        <t>Links to: Previous month closing balance</t>
      </text>
    </comment>
    <comment ref="D109" authorId="0" shapeId="0">
      <text>
        <t>Interest = MAX(0, Opening * Annual Rate / 12). Loan: Atlantic Union, 3 T680 Sleepers (Oct 2023). Source: data/loans.md - Atlantic Union Eq Finance, Loan 2</t>
      </text>
    </comment>
    <comment ref="E109" authorId="0" shapeId="0">
      <text>
        <t>Principal = MAX(0, MIN(Opening, Payment - Interest)). Loan: Atlantic Union, 3 T680 Sleepers (Oct 2023). Source: data/loans.md - Atlantic Union Eq Finance, Loan 2</t>
      </text>
    </comment>
    <comment ref="F109" authorId="0" shapeId="0">
      <text>
        <t>Closing = MAX(0, Opening - Principal). Loan: Atlantic Union, 3 T680 Sleepers (Oct 2023). Source: data/loans.md - Atlantic Union Eq Finance, Loan 2</t>
      </text>
    </comment>
    <comment ref="C110" authorId="0" shapeId="0">
      <text>
        <t>Links to: Previous month closing balance</t>
      </text>
    </comment>
    <comment ref="D110" authorId="0" shapeId="0">
      <text>
        <t>Interest = MAX(0, Opening * Annual Rate / 12). Loan: Atlantic Union, 3 T680 Sleepers (Oct 2023). Source: data/loans.md - Atlantic Union Eq Finance, Loan 2</t>
      </text>
    </comment>
    <comment ref="E110" authorId="0" shapeId="0">
      <text>
        <t>Principal = MAX(0, MIN(Opening, Payment - Interest)). Loan: Atlantic Union, 3 T680 Sleepers (Oct 2023). Source: data/loans.md - Atlantic Union Eq Finance, Loan 2</t>
      </text>
    </comment>
    <comment ref="F110" authorId="0" shapeId="0">
      <text>
        <t>Closing = MAX(0, Opening - Principal). Loan: Atlantic Union, 3 T680 Sleepers (Oct 2023). Source: data/loans.md - Atlantic Union Eq Finance, Loan 2</t>
      </text>
    </comment>
    <comment ref="C111" authorId="0" shapeId="0">
      <text>
        <t>Links to: Previous month closing balance</t>
      </text>
    </comment>
    <comment ref="D111" authorId="0" shapeId="0">
      <text>
        <t>Interest = MAX(0, Opening * Annual Rate / 12). Loan: Atlantic Union, 3 T680 Sleepers (Oct 2023). Source: data/loans.md - Atlantic Union Eq Finance, Loan 2</t>
      </text>
    </comment>
    <comment ref="E111" authorId="0" shapeId="0">
      <text>
        <t>Principal = MAX(0, MIN(Opening, Payment - Interest)). Loan: Atlantic Union, 3 T680 Sleepers (Oct 2023). Source: data/loans.md - Atlantic Union Eq Finance, Loan 2</t>
      </text>
    </comment>
    <comment ref="F111" authorId="0" shapeId="0">
      <text>
        <t>Closing = MAX(0, Opening - Principal). Loan: Atlantic Union, 3 T680 Sleepers (Oct 2023). Source: data/loans.md - Atlantic Union Eq Finance, Loan 2</t>
      </text>
    </comment>
    <comment ref="C112" authorId="0" shapeId="0">
      <text>
        <t>Links to: Previous month closing balance</t>
      </text>
    </comment>
    <comment ref="D112" authorId="0" shapeId="0">
      <text>
        <t>Interest = MAX(0, Opening * Annual Rate / 12). Loan: Atlantic Union, 3 T680 Sleepers (Oct 2023). Source: data/loans.md - Atlantic Union Eq Finance, Loan 2</t>
      </text>
    </comment>
    <comment ref="E112" authorId="0" shapeId="0">
      <text>
        <t>Principal = MAX(0, MIN(Opening, Payment - Interest)). Loan: Atlantic Union, 3 T680 Sleepers (Oct 2023). Source: data/loans.md - Atlantic Union Eq Finance, Loan 2</t>
      </text>
    </comment>
    <comment ref="F112" authorId="0" shapeId="0">
      <text>
        <t>Closing = MAX(0, Opening - Principal). Loan: Atlantic Union, 3 T680 Sleepers (Oct 2023). Source: data/loans.md - Atlantic Union Eq Finance, Loan 2</t>
      </text>
    </comment>
    <comment ref="C113" authorId="0" shapeId="0">
      <text>
        <t>Links to: Previous month closing balance</t>
      </text>
    </comment>
    <comment ref="D113" authorId="0" shapeId="0">
      <text>
        <t>Interest = MAX(0, Opening * Annual Rate / 12). Loan: Atlantic Union, 3 T680 Sleepers (Oct 2023). Source: data/loans.md - Atlantic Union Eq Finance, Loan 2</t>
      </text>
    </comment>
    <comment ref="E113" authorId="0" shapeId="0">
      <text>
        <t>Principal = MAX(0, MIN(Opening, Payment - Interest)). Loan: Atlantic Union, 3 T680 Sleepers (Oct 2023). Source: data/loans.md - Atlantic Union Eq Finance, Loan 2</t>
      </text>
    </comment>
    <comment ref="F113" authorId="0" shapeId="0">
      <text>
        <t>Closing = MAX(0, Opening - Principal). Loan: Atlantic Union, 3 T680 Sleepers (Oct 2023). Source: data/loans.md - Atlantic Union Eq Finance, Loan 2</t>
      </text>
    </comment>
    <comment ref="C114" authorId="0" shapeId="0">
      <text>
        <t>Links to: Previous month closing balance</t>
      </text>
    </comment>
    <comment ref="D114" authorId="0" shapeId="0">
      <text>
        <t>Interest = MAX(0, Opening * Annual Rate / 12). Loan: Atlantic Union, 3 T680 Sleepers (Oct 2023). Source: data/loans.md - Atlantic Union Eq Finance, Loan 2</t>
      </text>
    </comment>
    <comment ref="E114" authorId="0" shapeId="0">
      <text>
        <t>Principal = MAX(0, MIN(Opening, Payment - Interest)). Loan: Atlantic Union, 3 T680 Sleepers (Oct 2023). Source: data/loans.md - Atlantic Union Eq Finance, Loan 2</t>
      </text>
    </comment>
    <comment ref="F114" authorId="0" shapeId="0">
      <text>
        <t>Closing = MAX(0, Opening - Principal). Loan: Atlantic Union, 3 T680 Sleepers (Oct 2023). Source: data/loans.md - Atlantic Union Eq Finance, Loan 2</t>
      </text>
    </comment>
    <comment ref="C115" authorId="0" shapeId="0">
      <text>
        <t>Links to: Previous month closing balance</t>
      </text>
    </comment>
    <comment ref="D115" authorId="0" shapeId="0">
      <text>
        <t>Interest = MAX(0, Opening * Annual Rate / 12). Loan: Atlantic Union, 3 T680 Sleepers (Oct 2023). Source: data/loans.md - Atlantic Union Eq Finance, Loan 2</t>
      </text>
    </comment>
    <comment ref="E115" authorId="0" shapeId="0">
      <text>
        <t>Principal = MAX(0, MIN(Opening, Payment - Interest)). Loan: Atlantic Union, 3 T680 Sleepers (Oct 2023). Source: data/loans.md - Atlantic Union Eq Finance, Loan 2</t>
      </text>
    </comment>
    <comment ref="F115" authorId="0" shapeId="0">
      <text>
        <t>Closing = MAX(0, Opening - Principal). Loan: Atlantic Union, 3 T680 Sleepers (Oct 2023). Source: data/loans.md - Atlantic Union Eq Finance, Loan 2</t>
      </text>
    </comment>
    <comment ref="C116" authorId="0" shapeId="0">
      <text>
        <t>Links to: Previous month closing balance</t>
      </text>
    </comment>
    <comment ref="D116" authorId="0" shapeId="0">
      <text>
        <t>Interest = MAX(0, Opening * Annual Rate / 12). Loan: Atlantic Union, 3 T680 Sleepers (Oct 2023). Source: data/loans.md - Atlantic Union Eq Finance, Loan 2</t>
      </text>
    </comment>
    <comment ref="E116" authorId="0" shapeId="0">
      <text>
        <t>Principal = MAX(0, MIN(Opening, Payment - Interest)). Loan: Atlantic Union, 3 T680 Sleepers (Oct 2023). Source: data/loans.md - Atlantic Union Eq Finance, Loan 2</t>
      </text>
    </comment>
    <comment ref="F116" authorId="0" shapeId="0">
      <text>
        <t>Closing = MAX(0, Opening - Principal). Loan: Atlantic Union, 3 T680 Sleepers (Oct 2023). Source: data/loans.md - Atlantic Union Eq Finance, Loan 2</t>
      </text>
    </comment>
    <comment ref="C117" authorId="0" shapeId="0">
      <text>
        <t>Links to: Previous month closing balance</t>
      </text>
    </comment>
    <comment ref="D117" authorId="0" shapeId="0">
      <text>
        <t>Interest = MAX(0, Opening * Annual Rate / 12). Loan: Atlantic Union, 3 T680 Sleepers (Oct 2023). Source: data/loans.md - Atlantic Union Eq Finance, Loan 2</t>
      </text>
    </comment>
    <comment ref="E117" authorId="0" shapeId="0">
      <text>
        <t>Principal = MAX(0, MIN(Opening, Payment - Interest)). Loan: Atlantic Union, 3 T680 Sleepers (Oct 2023). Source: data/loans.md - Atlantic Union Eq Finance, Loan 2</t>
      </text>
    </comment>
    <comment ref="F117" authorId="0" shapeId="0">
      <text>
        <t>Closing = MAX(0, Opening - Principal). Loan: Atlantic Union, 3 T680 Sleepers (Oct 2023). Source: data/loans.md - Atlantic Union Eq Finance, Loan 2</t>
      </text>
    </comment>
    <comment ref="C118" authorId="0" shapeId="0">
      <text>
        <t>Links to: Previous month closing balance</t>
      </text>
    </comment>
    <comment ref="D118" authorId="0" shapeId="0">
      <text>
        <t>Interest = MAX(0, Opening * Annual Rate / 12). Loan: Atlantic Union, 3 T680 Sleepers (Oct 2023). Source: data/loans.md - Atlantic Union Eq Finance, Loan 2</t>
      </text>
    </comment>
    <comment ref="E118" authorId="0" shapeId="0">
      <text>
        <t>Principal = MAX(0, MIN(Opening, Payment - Interest)). Loan: Atlantic Union, 3 T680 Sleepers (Oct 2023). Source: data/loans.md - Atlantic Union Eq Finance, Loan 2</t>
      </text>
    </comment>
    <comment ref="F118" authorId="0" shapeId="0">
      <text>
        <t>Closing = MAX(0, Opening - Principal). Loan: Atlantic Union, 3 T680 Sleepers (Oct 2023). Source: data/loans.md - Atlantic Union Eq Finance, Loan 2</t>
      </text>
    </comment>
    <comment ref="C119" authorId="0" shapeId="0">
      <text>
        <t>Links to: Previous month closing balance</t>
      </text>
    </comment>
    <comment ref="D119" authorId="0" shapeId="0">
      <text>
        <t>Interest = MAX(0, Opening * Annual Rate / 12). Loan: Atlantic Union, 3 T680 Sleepers (Oct 2023). Source: data/loans.md - Atlantic Union Eq Finance, Loan 2</t>
      </text>
    </comment>
    <comment ref="E119" authorId="0" shapeId="0">
      <text>
        <t>Principal = MAX(0, MIN(Opening, Payment - Interest)). Loan: Atlantic Union, 3 T680 Sleepers (Oct 2023). Source: data/loans.md - Atlantic Union Eq Finance, Loan 2</t>
      </text>
    </comment>
    <comment ref="F119" authorId="0" shapeId="0">
      <text>
        <t>Closing = MAX(0, Opening - Principal). Loan: Atlantic Union, 3 T680 Sleepers (Oct 2023). Source: data/loans.md - Atlantic Union Eq Finance, Loan 2</t>
      </text>
    </comment>
    <comment ref="C120" authorId="0" shapeId="0">
      <text>
        <t>Links to: Previous month closing balance</t>
      </text>
    </comment>
    <comment ref="D120" authorId="0" shapeId="0">
      <text>
        <t>Interest = MAX(0, Opening * Annual Rate / 12). Loan: Atlantic Union, 3 T680 Sleepers (Oct 2023). Source: data/loans.md - Atlantic Union Eq Finance, Loan 2</t>
      </text>
    </comment>
    <comment ref="E120" authorId="0" shapeId="0">
      <text>
        <t>Principal = MAX(0, MIN(Opening, Payment - Interest)). Loan: Atlantic Union, 3 T680 Sleepers (Oct 2023). Source: data/loans.md - Atlantic Union Eq Finance, Loan 2</t>
      </text>
    </comment>
    <comment ref="F120" authorId="0" shapeId="0">
      <text>
        <t>Closing = MAX(0, Opening - Principal). Loan: Atlantic Union, 3 T680 Sleepers (Oct 2023). Source: data/loans.md - Atlantic Union Eq Finance, Loan 2</t>
      </text>
    </comment>
    <comment ref="C121" authorId="0" shapeId="0">
      <text>
        <t>Links to: Previous month closing balance</t>
      </text>
    </comment>
    <comment ref="D121" authorId="0" shapeId="0">
      <text>
        <t>Interest = MAX(0, Opening * Annual Rate / 12). Loan: Atlantic Union, 3 T680 Sleepers (Oct 2023). Source: data/loans.md - Atlantic Union Eq Finance, Loan 2</t>
      </text>
    </comment>
    <comment ref="E121" authorId="0" shapeId="0">
      <text>
        <t>Principal = MAX(0, MIN(Opening, Payment - Interest)). Loan: Atlantic Union, 3 T680 Sleepers (Oct 2023). Source: data/loans.md - Atlantic Union Eq Finance, Loan 2</t>
      </text>
    </comment>
    <comment ref="F121" authorId="0" shapeId="0">
      <text>
        <t>Closing = MAX(0, Opening - Principal). Loan: Atlantic Union, 3 T680 Sleepers (Oct 2023). Source: data/loans.md - Atlantic Union Eq Finance, Loan 2</t>
      </text>
    </comment>
    <comment ref="C122" authorId="0" shapeId="0">
      <text>
        <t>Links to: Previous month closing balance</t>
      </text>
    </comment>
    <comment ref="D122" authorId="0" shapeId="0">
      <text>
        <t>Interest = MAX(0, Opening * Annual Rate / 12). Loan: Atlantic Union, 3 T680 Sleepers (Oct 2023). Source: data/loans.md - Atlantic Union Eq Finance, Loan 2</t>
      </text>
    </comment>
    <comment ref="E122" authorId="0" shapeId="0">
      <text>
        <t>Principal = MAX(0, MIN(Opening, Payment - Interest)). Loan: Atlantic Union, 3 T680 Sleepers (Oct 2023). Source: data/loans.md - Atlantic Union Eq Finance, Loan 2</t>
      </text>
    </comment>
    <comment ref="F122" authorId="0" shapeId="0">
      <text>
        <t>Closing = MAX(0, Opening - Principal). Loan: Atlantic Union, 3 T680 Sleepers (Oct 2023). Source: data/loans.md - Atlantic Union Eq Finance, Loan 2</t>
      </text>
    </comment>
    <comment ref="C123" authorId="0" shapeId="0">
      <text>
        <t>Links to: Previous month closing balance</t>
      </text>
    </comment>
    <comment ref="D123" authorId="0" shapeId="0">
      <text>
        <t>Interest = MAX(0, Opening * Annual Rate / 12). Loan: Atlantic Union, 3 T680 Sleepers (Oct 2023). Source: data/loans.md - Atlantic Union Eq Finance, Loan 2</t>
      </text>
    </comment>
    <comment ref="E123" authorId="0" shapeId="0">
      <text>
        <t>Principal = MAX(0, MIN(Opening, Payment - Interest)). Loan: Atlantic Union, 3 T680 Sleepers (Oct 2023). Source: data/loans.md - Atlantic Union Eq Finance, Loan 2</t>
      </text>
    </comment>
    <comment ref="F123" authorId="0" shapeId="0">
      <text>
        <t>Closing = MAX(0, Opening - Principal). Loan: Atlantic Union, 3 T680 Sleepers (Oct 2023). Source: data/loans.md - Atlantic Union Eq Finance, Loan 2</t>
      </text>
    </comment>
    <comment ref="C124" authorId="0" shapeId="0">
      <text>
        <t>Links to: Previous month closing balance</t>
      </text>
    </comment>
    <comment ref="D124" authorId="0" shapeId="0">
      <text>
        <t>Interest = MAX(0, Opening * Annual Rate / 12). Loan: Atlantic Union, 3 T680 Sleepers (Oct 2023). Source: data/loans.md - Atlantic Union Eq Finance, Loan 2</t>
      </text>
    </comment>
    <comment ref="E124" authorId="0" shapeId="0">
      <text>
        <t>Principal = MAX(0, MIN(Opening, Payment - Interest)). Loan: Atlantic Union, 3 T680 Sleepers (Oct 2023). Source: data/loans.md - Atlantic Union Eq Finance, Loan 2</t>
      </text>
    </comment>
    <comment ref="F124" authorId="0" shapeId="0">
      <text>
        <t>Closing = MAX(0, Opening - Principal). Loan: Atlantic Union, 3 T680 Sleepers (Oct 2023). Source: data/loans.md - Atlantic Union Eq Finance, Loan 2</t>
      </text>
    </comment>
    <comment ref="C125" authorId="0" shapeId="0">
      <text>
        <t>Links to: Previous month closing balance</t>
      </text>
    </comment>
    <comment ref="D125" authorId="0" shapeId="0">
      <text>
        <t>Interest = MAX(0, Opening * Annual Rate / 12). Loan: Atlantic Union, 3 T680 Sleepers (Oct 2023). Source: data/loans.md - Atlantic Union Eq Finance, Loan 2</t>
      </text>
    </comment>
    <comment ref="E125" authorId="0" shapeId="0">
      <text>
        <t>Principal = MAX(0, MIN(Opening, Payment - Interest)). Loan: Atlantic Union, 3 T680 Sleepers (Oct 2023). Source: data/loans.md - Atlantic Union Eq Finance, Loan 2</t>
      </text>
    </comment>
    <comment ref="F125" authorId="0" shapeId="0">
      <text>
        <t>Closing = MAX(0, Opening - Principal). Loan: Atlantic Union, 3 T680 Sleepers (Oct 2023). Source: data/loans.md - Atlantic Union Eq Finance, Loan 2</t>
      </text>
    </comment>
    <comment ref="C126" authorId="0" shapeId="0">
      <text>
        <t>Links to: Previous month closing balance</t>
      </text>
    </comment>
    <comment ref="D126" authorId="0" shapeId="0">
      <text>
        <t>Interest = MAX(0, Opening * Annual Rate / 12). Loan: Atlantic Union, 3 T680 Sleepers (Oct 2023). Source: data/loans.md - Atlantic Union Eq Finance, Loan 2</t>
      </text>
    </comment>
    <comment ref="E126" authorId="0" shapeId="0">
      <text>
        <t>Principal = MAX(0, MIN(Opening, Payment - Interest)). Loan: Atlantic Union, 3 T680 Sleepers (Oct 2023). Source: data/loans.md - Atlantic Union Eq Finance, Loan 2</t>
      </text>
    </comment>
    <comment ref="F126" authorId="0" shapeId="0">
      <text>
        <t>Closing = MAX(0, Opening - Principal). Loan: Atlantic Union, 3 T680 Sleepers (Oct 2023). Source: data/loans.md - Atlantic Union Eq Finance, Loan 2</t>
      </text>
    </comment>
    <comment ref="C127" authorId="0" shapeId="0">
      <text>
        <t>Links to: Previous month closing balance</t>
      </text>
    </comment>
    <comment ref="D127" authorId="0" shapeId="0">
      <text>
        <t>Interest = MAX(0, Opening * Annual Rate / 12). Loan: Atlantic Union, 3 T680 Sleepers (Oct 2023). Source: data/loans.md - Atlantic Union Eq Finance, Loan 2</t>
      </text>
    </comment>
    <comment ref="E127" authorId="0" shapeId="0">
      <text>
        <t>Principal = MAX(0, MIN(Opening, Payment - Interest)). Loan: Atlantic Union, 3 T680 Sleepers (Oct 2023). Source: data/loans.md - Atlantic Union Eq Finance, Loan 2</t>
      </text>
    </comment>
    <comment ref="F127" authorId="0" shapeId="0">
      <text>
        <t>Closing = MAX(0, Opening - Principal). Loan: Atlantic Union, 3 T680 Sleepers (Oct 2023). Source: data/loans.md - Atlantic Union Eq Finance, Loan 2</t>
      </text>
    </comment>
    <comment ref="C128" authorId="0" shapeId="0">
      <text>
        <t>Links to: Previous month closing balance</t>
      </text>
    </comment>
    <comment ref="D128" authorId="0" shapeId="0">
      <text>
        <t>Interest = MAX(0, Opening * Annual Rate / 12). Loan: Atlantic Union, 3 T680 Sleepers (Oct 2023). Source: data/loans.md - Atlantic Union Eq Finance, Loan 2</t>
      </text>
    </comment>
    <comment ref="E128" authorId="0" shapeId="0">
      <text>
        <t>Principal = MAX(0, MIN(Opening, Payment - Interest)). Loan: Atlantic Union, 3 T680 Sleepers (Oct 2023). Source: data/loans.md - Atlantic Union Eq Finance, Loan 2</t>
      </text>
    </comment>
    <comment ref="F128" authorId="0" shapeId="0">
      <text>
        <t>Closing = MAX(0, Opening - Principal). Loan: Atlantic Union, 3 T680 Sleepers (Oct 2023). Source: data/loans.md - Atlantic Union Eq Finance, Loan 2</t>
      </text>
    </comment>
    <comment ref="C129" authorId="0" shapeId="0">
      <text>
        <t>Links to: Previous month closing balance</t>
      </text>
    </comment>
    <comment ref="D129" authorId="0" shapeId="0">
      <text>
        <t>Interest = MAX(0, Opening * Annual Rate / 12). Loan: Atlantic Union, 3 T680 Sleepers (Oct 2023). Source: data/loans.md - Atlantic Union Eq Finance, Loan 2</t>
      </text>
    </comment>
    <comment ref="E129" authorId="0" shapeId="0">
      <text>
        <t>Principal = MAX(0, MIN(Opening, Payment - Interest)). Loan: Atlantic Union, 3 T680 Sleepers (Oct 2023). Source: data/loans.md - Atlantic Union Eq Finance, Loan 2</t>
      </text>
    </comment>
    <comment ref="F129" authorId="0" shapeId="0">
      <text>
        <t>Closing = MAX(0, Opening - Principal). Loan: Atlantic Union, 3 T680 Sleepers (Oct 2023). Source: data/loans.md - Atlantic Union Eq Finance, Loan 2</t>
      </text>
    </comment>
    <comment ref="C130" authorId="0" shapeId="0">
      <text>
        <t>Links to: Previous month closing balance</t>
      </text>
    </comment>
    <comment ref="D130" authorId="0" shapeId="0">
      <text>
        <t>Interest = MAX(0, Opening * Annual Rate / 12). Loan: Atlantic Union, 3 T680 Sleepers (Oct 2023). Source: data/loans.md - Atlantic Union Eq Finance, Loan 2</t>
      </text>
    </comment>
    <comment ref="E130" authorId="0" shapeId="0">
      <text>
        <t>Principal = MAX(0, MIN(Opening, Payment - Interest)). Loan: Atlantic Union, 3 T680 Sleepers (Oct 2023). Source: data/loans.md - Atlantic Union Eq Finance, Loan 2</t>
      </text>
    </comment>
    <comment ref="F130" authorId="0" shapeId="0">
      <text>
        <t>Closing = MAX(0, Opening - Principal). Loan: Atlantic Union, 3 T680 Sleepers (Oct 2023). Source: data/loans.md - Atlantic Union Eq Finance, Loan 2</t>
      </text>
    </comment>
    <comment ref="C131" authorId="0" shapeId="0">
      <text>
        <t>Links to: Previous month closing balance</t>
      </text>
    </comment>
    <comment ref="D131" authorId="0" shapeId="0">
      <text>
        <t>Interest = MAX(0, Opening * Annual Rate / 12). Loan: Atlantic Union, 3 T680 Sleepers (Oct 2023). Source: data/loans.md - Atlantic Union Eq Finance, Loan 2</t>
      </text>
    </comment>
    <comment ref="E131" authorId="0" shapeId="0">
      <text>
        <t>Principal = MAX(0, MIN(Opening, Payment - Interest)). Loan: Atlantic Union, 3 T680 Sleepers (Oct 2023). Source: data/loans.md - Atlantic Union Eq Finance, Loan 2</t>
      </text>
    </comment>
    <comment ref="F131" authorId="0" shapeId="0">
      <text>
        <t>Closing = MAX(0, Opening - Principal). Loan: Atlantic Union, 3 T680 Sleepers (Oct 2023). Source: data/loans.md - Atlantic Union Eq Finance, Loan 2</t>
      </text>
    </comment>
    <comment ref="C132" authorId="0" shapeId="0">
      <text>
        <t>Links to: Previous month closing balance</t>
      </text>
    </comment>
    <comment ref="D132" authorId="0" shapeId="0">
      <text>
        <t>Interest = MAX(0, Opening * Annual Rate / 12). Loan: Atlantic Union, 3 T680 Sleepers (Oct 2023). Source: data/loans.md - Atlantic Union Eq Finance, Loan 2</t>
      </text>
    </comment>
    <comment ref="E132" authorId="0" shapeId="0">
      <text>
        <t>Principal = MAX(0, MIN(Opening, Payment - Interest)). Loan: Atlantic Union, 3 T680 Sleepers (Oct 2023). Source: data/loans.md - Atlantic Union Eq Finance, Loan 2</t>
      </text>
    </comment>
    <comment ref="F132" authorId="0" shapeId="0">
      <text>
        <t>Closing = MAX(0, Opening - Principal). Loan: Atlantic Union, 3 T680 Sleepers (Oct 2023). Source: data/loans.md - Atlantic Union Eq Finance, Loan 2</t>
      </text>
    </comment>
    <comment ref="C133" authorId="0" shapeId="0">
      <text>
        <t>Links to: Previous month closing balance</t>
      </text>
    </comment>
    <comment ref="D133" authorId="0" shapeId="0">
      <text>
        <t>Interest = MAX(0, Opening * Annual Rate / 12). Loan: Atlantic Union, 3 T680 Sleepers (Oct 2023). Source: data/loans.md - Atlantic Union Eq Finance, Loan 2</t>
      </text>
    </comment>
    <comment ref="E133" authorId="0" shapeId="0">
      <text>
        <t>Principal = MAX(0, MIN(Opening, Payment - Interest)). Loan: Atlantic Union, 3 T680 Sleepers (Oct 2023). Source: data/loans.md - Atlantic Union Eq Finance, Loan 2</t>
      </text>
    </comment>
    <comment ref="F133" authorId="0" shapeId="0">
      <text>
        <t>Closing = MAX(0, Opening - Principal). Loan: Atlantic Union, 3 T680 Sleepers (Oct 2023). Source: data/loans.md - Atlantic Union Eq Finance, Loan 2</t>
      </text>
    </comment>
    <comment ref="C134" authorId="0" shapeId="0">
      <text>
        <t>Links to: Previous month closing balance</t>
      </text>
    </comment>
    <comment ref="D134" authorId="0" shapeId="0">
      <text>
        <t>Interest = MAX(0, Opening * Annual Rate / 12). Loan: Atlantic Union, 3 T680 Sleepers (Oct 2023). Source: data/loans.md - Atlantic Union Eq Finance, Loan 2</t>
      </text>
    </comment>
    <comment ref="E134" authorId="0" shapeId="0">
      <text>
        <t>Principal = MAX(0, MIN(Opening, Payment - Interest)). Loan: Atlantic Union, 3 T680 Sleepers (Oct 2023). Source: data/loans.md - Atlantic Union Eq Finance, Loan 2</t>
      </text>
    </comment>
    <comment ref="F134" authorId="0" shapeId="0">
      <text>
        <t>Closing = MAX(0, Opening - Principal). Loan: Atlantic Union, 3 T680 Sleepers (Oct 2023). Source: data/loans.md - Atlantic Union Eq Finance, Loan 2</t>
      </text>
    </comment>
    <comment ref="C135" authorId="0" shapeId="0">
      <text>
        <t>Links to: Previous month closing balance</t>
      </text>
    </comment>
    <comment ref="D135" authorId="0" shapeId="0">
      <text>
        <t>Interest = MAX(0, Opening * Annual Rate / 12). Loan: Atlantic Union, 3 T680 Sleepers (Oct 2023). Source: data/loans.md - Atlantic Union Eq Finance, Loan 2</t>
      </text>
    </comment>
    <comment ref="E135" authorId="0" shapeId="0">
      <text>
        <t>Principal = MAX(0, MIN(Opening, Payment - Interest)). Loan: Atlantic Union, 3 T680 Sleepers (Oct 2023). Source: data/loans.md - Atlantic Union Eq Finance, Loan 2</t>
      </text>
    </comment>
    <comment ref="F135" authorId="0" shapeId="0">
      <text>
        <t>Closing = MAX(0, Opening - Principal). Loan: Atlantic Union, 3 T680 Sleepers (Oct 2023). Source: data/loans.md - Atlantic Union Eq Finance, Loan 2</t>
      </text>
    </comment>
    <comment ref="C139" authorId="0" shapeId="0">
      <text>
        <t>Source: data/loans.md - Atlantic Union Eq Finance, Loan 3</t>
      </text>
    </comment>
    <comment ref="C140" authorId="0" shapeId="0">
      <text>
        <t>Source: data/loans.md - Atlantic Union Eq Finance, Loan 3</t>
      </text>
    </comment>
    <comment ref="C141" authorId="0" shapeId="0">
      <text>
        <t>Source: data/loans.md - Atlantic Union Eq Finance, Loan 3</t>
      </text>
    </comment>
    <comment ref="C142" authorId="0" shapeId="0">
      <text>
        <t>Source: data/loans.md - Atlantic Union Eq Finance, Loan 3</t>
      </text>
    </comment>
    <comment ref="C143" authorId="0" shapeId="0">
      <text>
        <t>Source: data/loans.md - Atlantic Union Eq Finance, Loan 3</t>
      </text>
    </comment>
    <comment ref="C144" authorId="0" shapeId="0">
      <text>
        <t>Source: data/loans.md - Atlantic Union Eq Finance, Loan 3</t>
      </text>
    </comment>
    <comment ref="C145" authorId="0" shapeId="0">
      <text>
        <t>Source: data/loans.md - Atlantic Union Eq Finance, Loan 3</t>
      </text>
    </comment>
    <comment ref="C146" authorId="0" shapeId="0">
      <text>
        <t>Source: data/loans.md - Atlantic Union Eq Finance, Loan 3</t>
      </text>
    </comment>
    <comment ref="C147" authorId="0" shapeId="0">
      <text>
        <t>Source: data/loans.md - Atlantic Union Eq Finance, Loan 3</t>
      </text>
    </comment>
    <comment ref="C148" authorId="0" shapeId="0">
      <text>
        <t>Source: data/loans.md - Atlantic Union Eq Finance, Loan 3</t>
      </text>
    </comment>
    <comment ref="B151" authorId="0" shapeId="0">
      <text>
        <t>AI-generated analysis of loan terms</t>
      </text>
    </comment>
    <comment ref="B152" authorId="0" shapeId="0">
      <text>
        <t>AI-generated analysis of loan terms</t>
      </text>
    </comment>
    <comment ref="B153" authorId="0" shapeId="0">
      <text>
        <t>AI-generated analysis of loan terms</t>
      </text>
    </comment>
    <comment ref="B154" authorId="0" shapeId="0">
      <text>
        <t>AI-generated analysis of loan terms</t>
      </text>
    </comment>
    <comment ref="B155" authorId="0" shapeId="0">
      <text>
        <t>AI-generated analysis of loan terms</t>
      </text>
    </comment>
    <comment ref="C159" authorId="0" shapeId="0">
      <text>
        <t>Links to: Remaining Balance row 146</t>
      </text>
    </comment>
    <comment ref="D159" authorId="0" shapeId="0">
      <text>
        <t>Interest = MAX(0, Opening * Annual Rate / 12). Loan: Atlantic Union, 25 Trailers (June 2024). Source: data/loans.md - Atlantic Union Eq Finance, Loan 3</t>
      </text>
    </comment>
    <comment ref="E159" authorId="0" shapeId="0">
      <text>
        <t>Principal = MAX(0, MIN(Opening, Payment - Interest)). Loan: Atlantic Union, 25 Trailers (June 2024). Source: data/loans.md - Atlantic Union Eq Finance, Loan 3</t>
      </text>
    </comment>
    <comment ref="F159" authorId="0" shapeId="0">
      <text>
        <t>Closing = MAX(0, Opening - Principal). Loan: Atlantic Union, 25 Trailers (June 2024). Source: data/loans.md - Atlantic Union Eq Finance, Loan 3</t>
      </text>
    </comment>
    <comment ref="C160" authorId="0" shapeId="0">
      <text>
        <t>Links to: Previous month closing balance</t>
      </text>
    </comment>
    <comment ref="D160" authorId="0" shapeId="0">
      <text>
        <t>Interest = MAX(0, Opening * Annual Rate / 12). Loan: Atlantic Union, 25 Trailers (June 2024). Source: data/loans.md - Atlantic Union Eq Finance, Loan 3</t>
      </text>
    </comment>
    <comment ref="E160" authorId="0" shapeId="0">
      <text>
        <t>Principal = MAX(0, MIN(Opening, Payment - Interest)). Loan: Atlantic Union, 25 Trailers (June 2024). Source: data/loans.md - Atlantic Union Eq Finance, Loan 3</t>
      </text>
    </comment>
    <comment ref="F160" authorId="0" shapeId="0">
      <text>
        <t>Closing = MAX(0, Opening - Principal). Loan: Atlantic Union, 25 Trailers (June 2024). Source: data/loans.md - Atlantic Union Eq Finance, Loan 3</t>
      </text>
    </comment>
    <comment ref="C161" authorId="0" shapeId="0">
      <text>
        <t>Links to: Previous month closing balance</t>
      </text>
    </comment>
    <comment ref="D161" authorId="0" shapeId="0">
      <text>
        <t>Interest = MAX(0, Opening * Annual Rate / 12). Loan: Atlantic Union, 25 Trailers (June 2024). Source: data/loans.md - Atlantic Union Eq Finance, Loan 3</t>
      </text>
    </comment>
    <comment ref="E161" authorId="0" shapeId="0">
      <text>
        <t>Principal = MAX(0, MIN(Opening, Payment - Interest)). Loan: Atlantic Union, 25 Trailers (June 2024). Source: data/loans.md - Atlantic Union Eq Finance, Loan 3</t>
      </text>
    </comment>
    <comment ref="F161" authorId="0" shapeId="0">
      <text>
        <t>Closing = MAX(0, Opening - Principal). Loan: Atlantic Union, 25 Trailers (June 2024). Source: data/loans.md - Atlantic Union Eq Finance, Loan 3</t>
      </text>
    </comment>
    <comment ref="C162" authorId="0" shapeId="0">
      <text>
        <t>Links to: Previous month closing balance</t>
      </text>
    </comment>
    <comment ref="D162" authorId="0" shapeId="0">
      <text>
        <t>Interest = MAX(0, Opening * Annual Rate / 12). Loan: Atlantic Union, 25 Trailers (June 2024). Source: data/loans.md - Atlantic Union Eq Finance, Loan 3</t>
      </text>
    </comment>
    <comment ref="E162" authorId="0" shapeId="0">
      <text>
        <t>Principal = MAX(0, MIN(Opening, Payment - Interest)). Loan: Atlantic Union, 25 Trailers (June 2024). Source: data/loans.md - Atlantic Union Eq Finance, Loan 3</t>
      </text>
    </comment>
    <comment ref="F162" authorId="0" shapeId="0">
      <text>
        <t>Closing = MAX(0, Opening - Principal). Loan: Atlantic Union, 25 Trailers (June 2024). Source: data/loans.md - Atlantic Union Eq Finance, Loan 3</t>
      </text>
    </comment>
    <comment ref="C163" authorId="0" shapeId="0">
      <text>
        <t>Links to: Previous month closing balance</t>
      </text>
    </comment>
    <comment ref="D163" authorId="0" shapeId="0">
      <text>
        <t>Interest = MAX(0, Opening * Annual Rate / 12). Loan: Atlantic Union, 25 Trailers (June 2024). Source: data/loans.md - Atlantic Union Eq Finance, Loan 3</t>
      </text>
    </comment>
    <comment ref="E163" authorId="0" shapeId="0">
      <text>
        <t>Principal = MAX(0, MIN(Opening, Payment - Interest)). Loan: Atlantic Union, 25 Trailers (June 2024). Source: data/loans.md - Atlantic Union Eq Finance, Loan 3</t>
      </text>
    </comment>
    <comment ref="F163" authorId="0" shapeId="0">
      <text>
        <t>Closing = MAX(0, Opening - Principal). Loan: Atlantic Union, 25 Trailers (June 2024). Source: data/loans.md - Atlantic Union Eq Finance, Loan 3</t>
      </text>
    </comment>
    <comment ref="C164" authorId="0" shapeId="0">
      <text>
        <t>Links to: Previous month closing balance</t>
      </text>
    </comment>
    <comment ref="D164" authorId="0" shapeId="0">
      <text>
        <t>Interest = MAX(0, Opening * Annual Rate / 12). Loan: Atlantic Union, 25 Trailers (June 2024). Source: data/loans.md - Atlantic Union Eq Finance, Loan 3</t>
      </text>
    </comment>
    <comment ref="E164" authorId="0" shapeId="0">
      <text>
        <t>Principal = MAX(0, MIN(Opening, Payment - Interest)). Loan: Atlantic Union, 25 Trailers (June 2024). Source: data/loans.md - Atlantic Union Eq Finance, Loan 3</t>
      </text>
    </comment>
    <comment ref="F164" authorId="0" shapeId="0">
      <text>
        <t>Closing = MAX(0, Opening - Principal). Loan: Atlantic Union, 25 Trailers (June 2024). Source: data/loans.md - Atlantic Union Eq Finance, Loan 3</t>
      </text>
    </comment>
    <comment ref="C165" authorId="0" shapeId="0">
      <text>
        <t>Links to: Previous month closing balance</t>
      </text>
    </comment>
    <comment ref="D165" authorId="0" shapeId="0">
      <text>
        <t>Interest = MAX(0, Opening * Annual Rate / 12). Loan: Atlantic Union, 25 Trailers (June 2024). Source: data/loans.md - Atlantic Union Eq Finance, Loan 3</t>
      </text>
    </comment>
    <comment ref="E165" authorId="0" shapeId="0">
      <text>
        <t>Principal = MAX(0, MIN(Opening, Payment - Interest)). Loan: Atlantic Union, 25 Trailers (June 2024). Source: data/loans.md - Atlantic Union Eq Finance, Loan 3</t>
      </text>
    </comment>
    <comment ref="F165" authorId="0" shapeId="0">
      <text>
        <t>Closing = MAX(0, Opening - Principal). Loan: Atlantic Union, 25 Trailers (June 2024). Source: data/loans.md - Atlantic Union Eq Finance, Loan 3</t>
      </text>
    </comment>
    <comment ref="C166" authorId="0" shapeId="0">
      <text>
        <t>Links to: Previous month closing balance</t>
      </text>
    </comment>
    <comment ref="D166" authorId="0" shapeId="0">
      <text>
        <t>Interest = MAX(0, Opening * Annual Rate / 12). Loan: Atlantic Union, 25 Trailers (June 2024). Source: data/loans.md - Atlantic Union Eq Finance, Loan 3</t>
      </text>
    </comment>
    <comment ref="E166" authorId="0" shapeId="0">
      <text>
        <t>Principal = MAX(0, MIN(Opening, Payment - Interest)). Loan: Atlantic Union, 25 Trailers (June 2024). Source: data/loans.md - Atlantic Union Eq Finance, Loan 3</t>
      </text>
    </comment>
    <comment ref="F166" authorId="0" shapeId="0">
      <text>
        <t>Closing = MAX(0, Opening - Principal). Loan: Atlantic Union, 25 Trailers (June 2024). Source: data/loans.md - Atlantic Union Eq Finance, Loan 3</t>
      </text>
    </comment>
    <comment ref="C167" authorId="0" shapeId="0">
      <text>
        <t>Links to: Previous month closing balance</t>
      </text>
    </comment>
    <comment ref="D167" authorId="0" shapeId="0">
      <text>
        <t>Interest = MAX(0, Opening * Annual Rate / 12). Loan: Atlantic Union, 25 Trailers (June 2024). Source: data/loans.md - Atlantic Union Eq Finance, Loan 3</t>
      </text>
    </comment>
    <comment ref="E167" authorId="0" shapeId="0">
      <text>
        <t>Principal = MAX(0, MIN(Opening, Payment - Interest)). Loan: Atlantic Union, 25 Trailers (June 2024). Source: data/loans.md - Atlantic Union Eq Finance, Loan 3</t>
      </text>
    </comment>
    <comment ref="F167" authorId="0" shapeId="0">
      <text>
        <t>Closing = MAX(0, Opening - Principal). Loan: Atlantic Union, 25 Trailers (June 2024). Source: data/loans.md - Atlantic Union Eq Finance, Loan 3</t>
      </text>
    </comment>
    <comment ref="C168" authorId="0" shapeId="0">
      <text>
        <t>Links to: Previous month closing balance</t>
      </text>
    </comment>
    <comment ref="D168" authorId="0" shapeId="0">
      <text>
        <t>Interest = MAX(0, Opening * Annual Rate / 12). Loan: Atlantic Union, 25 Trailers (June 2024). Source: data/loans.md - Atlantic Union Eq Finance, Loan 3</t>
      </text>
    </comment>
    <comment ref="E168" authorId="0" shapeId="0">
      <text>
        <t>Principal = MAX(0, MIN(Opening, Payment - Interest)). Loan: Atlantic Union, 25 Trailers (June 2024). Source: data/loans.md - Atlantic Union Eq Finance, Loan 3</t>
      </text>
    </comment>
    <comment ref="F168" authorId="0" shapeId="0">
      <text>
        <t>Closing = MAX(0, Opening - Principal). Loan: Atlantic Union, 25 Trailers (June 2024). Source: data/loans.md - Atlantic Union Eq Finance, Loan 3</t>
      </text>
    </comment>
    <comment ref="C169" authorId="0" shapeId="0">
      <text>
        <t>Links to: Previous month closing balance</t>
      </text>
    </comment>
    <comment ref="D169" authorId="0" shapeId="0">
      <text>
        <t>Interest = MAX(0, Opening * Annual Rate / 12). Loan: Atlantic Union, 25 Trailers (June 2024). Source: data/loans.md - Atlantic Union Eq Finance, Loan 3</t>
      </text>
    </comment>
    <comment ref="E169" authorId="0" shapeId="0">
      <text>
        <t>Principal = MAX(0, MIN(Opening, Payment - Interest)). Loan: Atlantic Union, 25 Trailers (June 2024). Source: data/loans.md - Atlantic Union Eq Finance, Loan 3</t>
      </text>
    </comment>
    <comment ref="F169" authorId="0" shapeId="0">
      <text>
        <t>Closing = MAX(0, Opening - Principal). Loan: Atlantic Union, 25 Trailers (June 2024). Source: data/loans.md - Atlantic Union Eq Finance, Loan 3</t>
      </text>
    </comment>
    <comment ref="C170" authorId="0" shapeId="0">
      <text>
        <t>Links to: Previous month closing balance</t>
      </text>
    </comment>
    <comment ref="D170" authorId="0" shapeId="0">
      <text>
        <t>Interest = MAX(0, Opening * Annual Rate / 12). Loan: Atlantic Union, 25 Trailers (June 2024). Source: data/loans.md - Atlantic Union Eq Finance, Loan 3</t>
      </text>
    </comment>
    <comment ref="E170" authorId="0" shapeId="0">
      <text>
        <t>Principal = MAX(0, MIN(Opening, Payment - Interest)). Loan: Atlantic Union, 25 Trailers (June 2024). Source: data/loans.md - Atlantic Union Eq Finance, Loan 3</t>
      </text>
    </comment>
    <comment ref="F170" authorId="0" shapeId="0">
      <text>
        <t>Closing = MAX(0, Opening - Principal). Loan: Atlantic Union, 25 Trailers (June 2024). Source: data/loans.md - Atlantic Union Eq Finance, Loan 3</t>
      </text>
    </comment>
    <comment ref="C171" authorId="0" shapeId="0">
      <text>
        <t>Links to: Previous month closing balance</t>
      </text>
    </comment>
    <comment ref="D171" authorId="0" shapeId="0">
      <text>
        <t>Interest = MAX(0, Opening * Annual Rate / 12). Loan: Atlantic Union, 25 Trailers (June 2024). Source: data/loans.md - Atlantic Union Eq Finance, Loan 3</t>
      </text>
    </comment>
    <comment ref="E171" authorId="0" shapeId="0">
      <text>
        <t>Principal = MAX(0, MIN(Opening, Payment - Interest)). Loan: Atlantic Union, 25 Trailers (June 2024). Source: data/loans.md - Atlantic Union Eq Finance, Loan 3</t>
      </text>
    </comment>
    <comment ref="F171" authorId="0" shapeId="0">
      <text>
        <t>Closing = MAX(0, Opening - Principal). Loan: Atlantic Union, 25 Trailers (June 2024). Source: data/loans.md - Atlantic Union Eq Finance, Loan 3</t>
      </text>
    </comment>
    <comment ref="C172" authorId="0" shapeId="0">
      <text>
        <t>Links to: Previous month closing balance</t>
      </text>
    </comment>
    <comment ref="D172" authorId="0" shapeId="0">
      <text>
        <t>Interest = MAX(0, Opening * Annual Rate / 12). Loan: Atlantic Union, 25 Trailers (June 2024). Source: data/loans.md - Atlantic Union Eq Finance, Loan 3</t>
      </text>
    </comment>
    <comment ref="E172" authorId="0" shapeId="0">
      <text>
        <t>Principal = MAX(0, MIN(Opening, Payment - Interest)). Loan: Atlantic Union, 25 Trailers (June 2024). Source: data/loans.md - Atlantic Union Eq Finance, Loan 3</t>
      </text>
    </comment>
    <comment ref="F172" authorId="0" shapeId="0">
      <text>
        <t>Closing = MAX(0, Opening - Principal). Loan: Atlantic Union, 25 Trailers (June 2024). Source: data/loans.md - Atlantic Union Eq Finance, Loan 3</t>
      </text>
    </comment>
    <comment ref="C173" authorId="0" shapeId="0">
      <text>
        <t>Links to: Previous month closing balance</t>
      </text>
    </comment>
    <comment ref="D173" authorId="0" shapeId="0">
      <text>
        <t>Interest = MAX(0, Opening * Annual Rate / 12). Loan: Atlantic Union, 25 Trailers (June 2024). Source: data/loans.md - Atlantic Union Eq Finance, Loan 3</t>
      </text>
    </comment>
    <comment ref="E173" authorId="0" shapeId="0">
      <text>
        <t>Principal = MAX(0, MIN(Opening, Payment - Interest)). Loan: Atlantic Union, 25 Trailers (June 2024). Source: data/loans.md - Atlantic Union Eq Finance, Loan 3</t>
      </text>
    </comment>
    <comment ref="F173" authorId="0" shapeId="0">
      <text>
        <t>Closing = MAX(0, Opening - Principal). Loan: Atlantic Union, 25 Trailers (June 2024). Source: data/loans.md - Atlantic Union Eq Finance, Loan 3</t>
      </text>
    </comment>
    <comment ref="C174" authorId="0" shapeId="0">
      <text>
        <t>Links to: Previous month closing balance</t>
      </text>
    </comment>
    <comment ref="D174" authorId="0" shapeId="0">
      <text>
        <t>Interest = MAX(0, Opening * Annual Rate / 12). Loan: Atlantic Union, 25 Trailers (June 2024). Source: data/loans.md - Atlantic Union Eq Finance, Loan 3</t>
      </text>
    </comment>
    <comment ref="E174" authorId="0" shapeId="0">
      <text>
        <t>Principal = MAX(0, MIN(Opening, Payment - Interest)). Loan: Atlantic Union, 25 Trailers (June 2024). Source: data/loans.md - Atlantic Union Eq Finance, Loan 3</t>
      </text>
    </comment>
    <comment ref="F174" authorId="0" shapeId="0">
      <text>
        <t>Closing = MAX(0, Opening - Principal). Loan: Atlantic Union, 25 Trailers (June 2024). Source: data/loans.md - Atlantic Union Eq Finance, Loan 3</t>
      </text>
    </comment>
    <comment ref="C175" authorId="0" shapeId="0">
      <text>
        <t>Links to: Previous month closing balance</t>
      </text>
    </comment>
    <comment ref="D175" authorId="0" shapeId="0">
      <text>
        <t>Interest = MAX(0, Opening * Annual Rate / 12). Loan: Atlantic Union, 25 Trailers (June 2024). Source: data/loans.md - Atlantic Union Eq Finance, Loan 3</t>
      </text>
    </comment>
    <comment ref="E175" authorId="0" shapeId="0">
      <text>
        <t>Principal = MAX(0, MIN(Opening, Payment - Interest)). Loan: Atlantic Union, 25 Trailers (June 2024). Source: data/loans.md - Atlantic Union Eq Finance, Loan 3</t>
      </text>
    </comment>
    <comment ref="F175" authorId="0" shapeId="0">
      <text>
        <t>Closing = MAX(0, Opening - Principal). Loan: Atlantic Union, 25 Trailers (June 2024). Source: data/loans.md - Atlantic Union Eq Finance, Loan 3</t>
      </text>
    </comment>
    <comment ref="C176" authorId="0" shapeId="0">
      <text>
        <t>Links to: Previous month closing balance</t>
      </text>
    </comment>
    <comment ref="D176" authorId="0" shapeId="0">
      <text>
        <t>Interest = MAX(0, Opening * Annual Rate / 12). Loan: Atlantic Union, 25 Trailers (June 2024). Source: data/loans.md - Atlantic Union Eq Finance, Loan 3</t>
      </text>
    </comment>
    <comment ref="E176" authorId="0" shapeId="0">
      <text>
        <t>Principal = MAX(0, MIN(Opening, Payment - Interest)). Loan: Atlantic Union, 25 Trailers (June 2024). Source: data/loans.md - Atlantic Union Eq Finance, Loan 3</t>
      </text>
    </comment>
    <comment ref="F176" authorId="0" shapeId="0">
      <text>
        <t>Closing = MAX(0, Opening - Principal). Loan: Atlantic Union, 25 Trailers (June 2024). Source: data/loans.md - Atlantic Union Eq Finance, Loan 3</t>
      </text>
    </comment>
    <comment ref="C177" authorId="0" shapeId="0">
      <text>
        <t>Links to: Previous month closing balance</t>
      </text>
    </comment>
    <comment ref="D177" authorId="0" shapeId="0">
      <text>
        <t>Interest = MAX(0, Opening * Annual Rate / 12). Loan: Atlantic Union, 25 Trailers (June 2024). Source: data/loans.md - Atlantic Union Eq Finance, Loan 3</t>
      </text>
    </comment>
    <comment ref="E177" authorId="0" shapeId="0">
      <text>
        <t>Principal = MAX(0, MIN(Opening, Payment - Interest)). Loan: Atlantic Union, 25 Trailers (June 2024). Source: data/loans.md - Atlantic Union Eq Finance, Loan 3</t>
      </text>
    </comment>
    <comment ref="F177" authorId="0" shapeId="0">
      <text>
        <t>Closing = MAX(0, Opening - Principal). Loan: Atlantic Union, 25 Trailers (June 2024). Source: data/loans.md - Atlantic Union Eq Finance, Loan 3</t>
      </text>
    </comment>
    <comment ref="C178" authorId="0" shapeId="0">
      <text>
        <t>Links to: Previous month closing balance</t>
      </text>
    </comment>
    <comment ref="D178" authorId="0" shapeId="0">
      <text>
        <t>Interest = MAX(0, Opening * Annual Rate / 12). Loan: Atlantic Union, 25 Trailers (June 2024). Source: data/loans.md - Atlantic Union Eq Finance, Loan 3</t>
      </text>
    </comment>
    <comment ref="E178" authorId="0" shapeId="0">
      <text>
        <t>Principal = MAX(0, MIN(Opening, Payment - Interest)). Loan: Atlantic Union, 25 Trailers (June 2024). Source: data/loans.md - Atlantic Union Eq Finance, Loan 3</t>
      </text>
    </comment>
    <comment ref="F178" authorId="0" shapeId="0">
      <text>
        <t>Closing = MAX(0, Opening - Principal). Loan: Atlantic Union, 25 Trailers (June 2024). Source: data/loans.md - Atlantic Union Eq Finance, Loan 3</t>
      </text>
    </comment>
    <comment ref="C179" authorId="0" shapeId="0">
      <text>
        <t>Links to: Previous month closing balance</t>
      </text>
    </comment>
    <comment ref="D179" authorId="0" shapeId="0">
      <text>
        <t>Interest = MAX(0, Opening * Annual Rate / 12). Loan: Atlantic Union, 25 Trailers (June 2024). Source: data/loans.md - Atlantic Union Eq Finance, Loan 3</t>
      </text>
    </comment>
    <comment ref="E179" authorId="0" shapeId="0">
      <text>
        <t>Principal = MAX(0, MIN(Opening, Payment - Interest)). Loan: Atlantic Union, 25 Trailers (June 2024). Source: data/loans.md - Atlantic Union Eq Finance, Loan 3</t>
      </text>
    </comment>
    <comment ref="F179" authorId="0" shapeId="0">
      <text>
        <t>Closing = MAX(0, Opening - Principal). Loan: Atlantic Union, 25 Trailers (June 2024). Source: data/loans.md - Atlantic Union Eq Finance, Loan 3</t>
      </text>
    </comment>
    <comment ref="C180" authorId="0" shapeId="0">
      <text>
        <t>Links to: Previous month closing balance</t>
      </text>
    </comment>
    <comment ref="D180" authorId="0" shapeId="0">
      <text>
        <t>Interest = MAX(0, Opening * Annual Rate / 12). Loan: Atlantic Union, 25 Trailers (June 2024). Source: data/loans.md - Atlantic Union Eq Finance, Loan 3</t>
      </text>
    </comment>
    <comment ref="E180" authorId="0" shapeId="0">
      <text>
        <t>Principal = MAX(0, MIN(Opening, Payment - Interest)). Loan: Atlantic Union, 25 Trailers (June 2024). Source: data/loans.md - Atlantic Union Eq Finance, Loan 3</t>
      </text>
    </comment>
    <comment ref="F180" authorId="0" shapeId="0">
      <text>
        <t>Closing = MAX(0, Opening - Principal). Loan: Atlantic Union, 25 Trailers (June 2024). Source: data/loans.md - Atlantic Union Eq Finance, Loan 3</t>
      </text>
    </comment>
    <comment ref="C181" authorId="0" shapeId="0">
      <text>
        <t>Links to: Previous month closing balance</t>
      </text>
    </comment>
    <comment ref="D181" authorId="0" shapeId="0">
      <text>
        <t>Interest = MAX(0, Opening * Annual Rate / 12). Loan: Atlantic Union, 25 Trailers (June 2024). Source: data/loans.md - Atlantic Union Eq Finance, Loan 3</t>
      </text>
    </comment>
    <comment ref="E181" authorId="0" shapeId="0">
      <text>
        <t>Principal = MAX(0, MIN(Opening, Payment - Interest)). Loan: Atlantic Union, 25 Trailers (June 2024). Source: data/loans.md - Atlantic Union Eq Finance, Loan 3</t>
      </text>
    </comment>
    <comment ref="F181" authorId="0" shapeId="0">
      <text>
        <t>Closing = MAX(0, Opening - Principal). Loan: Atlantic Union, 25 Trailers (June 2024). Source: data/loans.md - Atlantic Union Eq Finance, Loan 3</t>
      </text>
    </comment>
    <comment ref="C182" authorId="0" shapeId="0">
      <text>
        <t>Links to: Previous month closing balance</t>
      </text>
    </comment>
    <comment ref="D182" authorId="0" shapeId="0">
      <text>
        <t>Interest = MAX(0, Opening * Annual Rate / 12). Loan: Atlantic Union, 25 Trailers (June 2024). Source: data/loans.md - Atlantic Union Eq Finance, Loan 3</t>
      </text>
    </comment>
    <comment ref="E182" authorId="0" shapeId="0">
      <text>
        <t>Principal = MAX(0, MIN(Opening, Payment - Interest)). Loan: Atlantic Union, 25 Trailers (June 2024). Source: data/loans.md - Atlantic Union Eq Finance, Loan 3</t>
      </text>
    </comment>
    <comment ref="F182" authorId="0" shapeId="0">
      <text>
        <t>Closing = MAX(0, Opening - Principal). Loan: Atlantic Union, 25 Trailers (June 2024). Source: data/loans.md - Atlantic Union Eq Finance, Loan 3</t>
      </text>
    </comment>
    <comment ref="C183" authorId="0" shapeId="0">
      <text>
        <t>Links to: Previous month closing balance</t>
      </text>
    </comment>
    <comment ref="D183" authorId="0" shapeId="0">
      <text>
        <t>Interest = MAX(0, Opening * Annual Rate / 12). Loan: Atlantic Union, 25 Trailers (June 2024). Source: data/loans.md - Atlantic Union Eq Finance, Loan 3</t>
      </text>
    </comment>
    <comment ref="E183" authorId="0" shapeId="0">
      <text>
        <t>Principal = MAX(0, MIN(Opening, Payment - Interest)). Loan: Atlantic Union, 25 Trailers (June 2024). Source: data/loans.md - Atlantic Union Eq Finance, Loan 3</t>
      </text>
    </comment>
    <comment ref="F183" authorId="0" shapeId="0">
      <text>
        <t>Closing = MAX(0, Opening - Principal). Loan: Atlantic Union, 25 Trailers (June 2024). Source: data/loans.md - Atlantic Union Eq Finance, Loan 3</t>
      </text>
    </comment>
    <comment ref="C184" authorId="0" shapeId="0">
      <text>
        <t>Links to: Previous month closing balance</t>
      </text>
    </comment>
    <comment ref="D184" authorId="0" shapeId="0">
      <text>
        <t>Interest = MAX(0, Opening * Annual Rate / 12). Loan: Atlantic Union, 25 Trailers (June 2024). Source: data/loans.md - Atlantic Union Eq Finance, Loan 3</t>
      </text>
    </comment>
    <comment ref="E184" authorId="0" shapeId="0">
      <text>
        <t>Principal = MAX(0, MIN(Opening, Payment - Interest)). Loan: Atlantic Union, 25 Trailers (June 2024). Source: data/loans.md - Atlantic Union Eq Finance, Loan 3</t>
      </text>
    </comment>
    <comment ref="F184" authorId="0" shapeId="0">
      <text>
        <t>Closing = MAX(0, Opening - Principal). Loan: Atlantic Union, 25 Trailers (June 2024). Source: data/loans.md - Atlantic Union Eq Finance, Loan 3</t>
      </text>
    </comment>
    <comment ref="C185" authorId="0" shapeId="0">
      <text>
        <t>Links to: Previous month closing balance</t>
      </text>
    </comment>
    <comment ref="D185" authorId="0" shapeId="0">
      <text>
        <t>Interest = MAX(0, Opening * Annual Rate / 12). Loan: Atlantic Union, 25 Trailers (June 2024). Source: data/loans.md - Atlantic Union Eq Finance, Loan 3</t>
      </text>
    </comment>
    <comment ref="E185" authorId="0" shapeId="0">
      <text>
        <t>Principal = MAX(0, MIN(Opening, Payment - Interest)). Loan: Atlantic Union, 25 Trailers (June 2024). Source: data/loans.md - Atlantic Union Eq Finance, Loan 3</t>
      </text>
    </comment>
    <comment ref="F185" authorId="0" shapeId="0">
      <text>
        <t>Closing = MAX(0, Opening - Principal). Loan: Atlantic Union, 25 Trailers (June 2024). Source: data/loans.md - Atlantic Union Eq Finance, Loan 3</t>
      </text>
    </comment>
    <comment ref="C186" authorId="0" shapeId="0">
      <text>
        <t>Links to: Previous month closing balance</t>
      </text>
    </comment>
    <comment ref="D186" authorId="0" shapeId="0">
      <text>
        <t>Interest = MAX(0, Opening * Annual Rate / 12). Loan: Atlantic Union, 25 Trailers (June 2024). Source: data/loans.md - Atlantic Union Eq Finance, Loan 3</t>
      </text>
    </comment>
    <comment ref="E186" authorId="0" shapeId="0">
      <text>
        <t>Principal = MAX(0, MIN(Opening, Payment - Interest)). Loan: Atlantic Union, 25 Trailers (June 2024). Source: data/loans.md - Atlantic Union Eq Finance, Loan 3</t>
      </text>
    </comment>
    <comment ref="F186" authorId="0" shapeId="0">
      <text>
        <t>Closing = MAX(0, Opening - Principal). Loan: Atlantic Union, 25 Trailers (June 2024). Source: data/loans.md - Atlantic Union Eq Finance, Loan 3</t>
      </text>
    </comment>
    <comment ref="C187" authorId="0" shapeId="0">
      <text>
        <t>Links to: Previous month closing balance</t>
      </text>
    </comment>
    <comment ref="D187" authorId="0" shapeId="0">
      <text>
        <t>Interest = MAX(0, Opening * Annual Rate / 12). Loan: Atlantic Union, 25 Trailers (June 2024). Source: data/loans.md - Atlantic Union Eq Finance, Loan 3</t>
      </text>
    </comment>
    <comment ref="E187" authorId="0" shapeId="0">
      <text>
        <t>Principal = MAX(0, MIN(Opening, Payment - Interest)). Loan: Atlantic Union, 25 Trailers (June 2024). Source: data/loans.md - Atlantic Union Eq Finance, Loan 3</t>
      </text>
    </comment>
    <comment ref="F187" authorId="0" shapeId="0">
      <text>
        <t>Closing = MAX(0, Opening - Principal). Loan: Atlantic Union, 25 Trailers (June 2024). Source: data/loans.md - Atlantic Union Eq Finance, Loan 3</t>
      </text>
    </comment>
    <comment ref="C188" authorId="0" shapeId="0">
      <text>
        <t>Links to: Previous month closing balance</t>
      </text>
    </comment>
    <comment ref="D188" authorId="0" shapeId="0">
      <text>
        <t>Interest = MAX(0, Opening * Annual Rate / 12). Loan: Atlantic Union, 25 Trailers (June 2024). Source: data/loans.md - Atlantic Union Eq Finance, Loan 3</t>
      </text>
    </comment>
    <comment ref="E188" authorId="0" shapeId="0">
      <text>
        <t>Principal = MAX(0, MIN(Opening, Payment - Interest)). Loan: Atlantic Union, 25 Trailers (June 2024). Source: data/loans.md - Atlantic Union Eq Finance, Loan 3</t>
      </text>
    </comment>
    <comment ref="F188" authorId="0" shapeId="0">
      <text>
        <t>Closing = MAX(0, Opening - Principal). Loan: Atlantic Union, 25 Trailers (June 2024). Source: data/loans.md - Atlantic Union Eq Finance, Loan 3</t>
      </text>
    </comment>
    <comment ref="C189" authorId="0" shapeId="0">
      <text>
        <t>Links to: Previous month closing balance</t>
      </text>
    </comment>
    <comment ref="D189" authorId="0" shapeId="0">
      <text>
        <t>Interest = MAX(0, Opening * Annual Rate / 12). Loan: Atlantic Union, 25 Trailers (June 2024). Source: data/loans.md - Atlantic Union Eq Finance, Loan 3</t>
      </text>
    </comment>
    <comment ref="E189" authorId="0" shapeId="0">
      <text>
        <t>Principal = MAX(0, MIN(Opening, Payment - Interest)). Loan: Atlantic Union, 25 Trailers (June 2024). Source: data/loans.md - Atlantic Union Eq Finance, Loan 3</t>
      </text>
    </comment>
    <comment ref="F189" authorId="0" shapeId="0">
      <text>
        <t>Closing = MAX(0, Opening - Principal). Loan: Atlantic Union, 25 Trailers (June 2024). Source: data/loans.md - Atlantic Union Eq Finance, Loan 3</t>
      </text>
    </comment>
    <comment ref="C190" authorId="0" shapeId="0">
      <text>
        <t>Links to: Previous month closing balance</t>
      </text>
    </comment>
    <comment ref="D190" authorId="0" shapeId="0">
      <text>
        <t>Interest = MAX(0, Opening * Annual Rate / 12). Loan: Atlantic Union, 25 Trailers (June 2024). Source: data/loans.md - Atlantic Union Eq Finance, Loan 3</t>
      </text>
    </comment>
    <comment ref="E190" authorId="0" shapeId="0">
      <text>
        <t>Principal = MAX(0, MIN(Opening, Payment - Interest)). Loan: Atlantic Union, 25 Trailers (June 2024). Source: data/loans.md - Atlantic Union Eq Finance, Loan 3</t>
      </text>
    </comment>
    <comment ref="F190" authorId="0" shapeId="0">
      <text>
        <t>Closing = MAX(0, Opening - Principal). Loan: Atlantic Union, 25 Trailers (June 2024). Source: data/loans.md - Atlantic Union Eq Finance, Loan 3</t>
      </text>
    </comment>
    <comment ref="C191" authorId="0" shapeId="0">
      <text>
        <t>Links to: Previous month closing balance</t>
      </text>
    </comment>
    <comment ref="D191" authorId="0" shapeId="0">
      <text>
        <t>Interest = MAX(0, Opening * Annual Rate / 12). Loan: Atlantic Union, 25 Trailers (June 2024). Source: data/loans.md - Atlantic Union Eq Finance, Loan 3</t>
      </text>
    </comment>
    <comment ref="E191" authorId="0" shapeId="0">
      <text>
        <t>Principal = MAX(0, MIN(Opening, Payment - Interest)). Loan: Atlantic Union, 25 Trailers (June 2024). Source: data/loans.md - Atlantic Union Eq Finance, Loan 3</t>
      </text>
    </comment>
    <comment ref="F191" authorId="0" shapeId="0">
      <text>
        <t>Closing = MAX(0, Opening - Principal). Loan: Atlantic Union, 25 Trailers (June 2024). Source: data/loans.md - Atlantic Union Eq Finance, Loan 3</t>
      </text>
    </comment>
    <comment ref="C192" authorId="0" shapeId="0">
      <text>
        <t>Links to: Previous month closing balance</t>
      </text>
    </comment>
    <comment ref="D192" authorId="0" shapeId="0">
      <text>
        <t>Interest = MAX(0, Opening * Annual Rate / 12). Loan: Atlantic Union, 25 Trailers (June 2024). Source: data/loans.md - Atlantic Union Eq Finance, Loan 3</t>
      </text>
    </comment>
    <comment ref="E192" authorId="0" shapeId="0">
      <text>
        <t>Principal = MAX(0, MIN(Opening, Payment - Interest)). Loan: Atlantic Union, 25 Trailers (June 2024). Source: data/loans.md - Atlantic Union Eq Finance, Loan 3</t>
      </text>
    </comment>
    <comment ref="F192" authorId="0" shapeId="0">
      <text>
        <t>Closing = MAX(0, Opening - Principal). Loan: Atlantic Union, 25 Trailers (June 2024). Source: data/loans.md - Atlantic Union Eq Finance, Loan 3</t>
      </text>
    </comment>
    <comment ref="C193" authorId="0" shapeId="0">
      <text>
        <t>Links to: Previous month closing balance</t>
      </text>
    </comment>
    <comment ref="D193" authorId="0" shapeId="0">
      <text>
        <t>Interest = MAX(0, Opening * Annual Rate / 12). Loan: Atlantic Union, 25 Trailers (June 2024). Source: data/loans.md - Atlantic Union Eq Finance, Loan 3</t>
      </text>
    </comment>
    <comment ref="E193" authorId="0" shapeId="0">
      <text>
        <t>Principal = MAX(0, MIN(Opening, Payment - Interest)). Loan: Atlantic Union, 25 Trailers (June 2024). Source: data/loans.md - Atlantic Union Eq Finance, Loan 3</t>
      </text>
    </comment>
    <comment ref="F193" authorId="0" shapeId="0">
      <text>
        <t>Closing = MAX(0, Opening - Principal). Loan: Atlantic Union, 25 Trailers (June 2024). Source: data/loans.md - Atlantic Union Eq Finance, Loan 3</t>
      </text>
    </comment>
    <comment ref="C194" authorId="0" shapeId="0">
      <text>
        <t>Links to: Previous month closing balance</t>
      </text>
    </comment>
    <comment ref="D194" authorId="0" shapeId="0">
      <text>
        <t>Interest = MAX(0, Opening * Annual Rate / 12). Loan: Atlantic Union, 25 Trailers (June 2024). Source: data/loans.md - Atlantic Union Eq Finance, Loan 3</t>
      </text>
    </comment>
    <comment ref="E194" authorId="0" shapeId="0">
      <text>
        <t>Principal = MAX(0, MIN(Opening, Payment - Interest)). Loan: Atlantic Union, 25 Trailers (June 2024). Source: data/loans.md - Atlantic Union Eq Finance, Loan 3</t>
      </text>
    </comment>
    <comment ref="F194" authorId="0" shapeId="0">
      <text>
        <t>Closing = MAX(0, Opening - Principal). Loan: Atlantic Union, 25 Trailers (June 2024). Source: data/loans.md - Atlantic Union Eq Finance, Loan 3</t>
      </text>
    </comment>
    <comment ref="C195" authorId="0" shapeId="0">
      <text>
        <t>Links to: Previous month closing balance</t>
      </text>
    </comment>
    <comment ref="D195" authorId="0" shapeId="0">
      <text>
        <t>Interest = MAX(0, Opening * Annual Rate / 12). Loan: Atlantic Union, 25 Trailers (June 2024). Source: data/loans.md - Atlantic Union Eq Finance, Loan 3</t>
      </text>
    </comment>
    <comment ref="E195" authorId="0" shapeId="0">
      <text>
        <t>Principal = MAX(0, MIN(Opening, Payment - Interest)). Loan: Atlantic Union, 25 Trailers (June 2024). Source: data/loans.md - Atlantic Union Eq Finance, Loan 3</t>
      </text>
    </comment>
    <comment ref="F195" authorId="0" shapeId="0">
      <text>
        <t>Closing = MAX(0, Opening - Principal). Loan: Atlantic Union, 25 Trailers (June 2024). Source: data/loans.md - Atlantic Union Eq Finance, Loan 3</t>
      </text>
    </comment>
    <comment ref="C196" authorId="0" shapeId="0">
      <text>
        <t>Links to: Previous month closing balance</t>
      </text>
    </comment>
    <comment ref="D196" authorId="0" shapeId="0">
      <text>
        <t>Interest = MAX(0, Opening * Annual Rate / 12). Loan: Atlantic Union, 25 Trailers (June 2024). Source: data/loans.md - Atlantic Union Eq Finance, Loan 3</t>
      </text>
    </comment>
    <comment ref="E196" authorId="0" shapeId="0">
      <text>
        <t>Principal = MAX(0, MIN(Opening, Payment - Interest)). Loan: Atlantic Union, 25 Trailers (June 2024). Source: data/loans.md - Atlantic Union Eq Finance, Loan 3</t>
      </text>
    </comment>
    <comment ref="F196" authorId="0" shapeId="0">
      <text>
        <t>Closing = MAX(0, Opening - Principal). Loan: Atlantic Union, 25 Trailers (June 2024). Source: data/loans.md - Atlantic Union Eq Finance, Loan 3</t>
      </text>
    </comment>
    <comment ref="C197" authorId="0" shapeId="0">
      <text>
        <t>Links to: Previous month closing balance</t>
      </text>
    </comment>
    <comment ref="D197" authorId="0" shapeId="0">
      <text>
        <t>Interest = MAX(0, Opening * Annual Rate / 12). Loan: Atlantic Union, 25 Trailers (June 2024). Source: data/loans.md - Atlantic Union Eq Finance, Loan 3</t>
      </text>
    </comment>
    <comment ref="E197" authorId="0" shapeId="0">
      <text>
        <t>Principal = MAX(0, MIN(Opening, Payment - Interest)). Loan: Atlantic Union, 25 Trailers (June 2024). Source: data/loans.md - Atlantic Union Eq Finance, Loan 3</t>
      </text>
    </comment>
    <comment ref="F197" authorId="0" shapeId="0">
      <text>
        <t>Closing = MAX(0, Opening - Principal). Loan: Atlantic Union, 25 Trailers (June 2024). Source: data/loans.md - Atlantic Union Eq Finance, Loan 3</t>
      </text>
    </comment>
    <comment ref="C198" authorId="0" shapeId="0">
      <text>
        <t>Links to: Previous month closing balance</t>
      </text>
    </comment>
    <comment ref="D198" authorId="0" shapeId="0">
      <text>
        <t>Interest = MAX(0, Opening * Annual Rate / 12). Loan: Atlantic Union, 25 Trailers (June 2024). Source: data/loans.md - Atlantic Union Eq Finance, Loan 3</t>
      </text>
    </comment>
    <comment ref="E198" authorId="0" shapeId="0">
      <text>
        <t>Principal = MAX(0, MIN(Opening, Payment - Interest)). Loan: Atlantic Union, 25 Trailers (June 2024). Source: data/loans.md - Atlantic Union Eq Finance, Loan 3</t>
      </text>
    </comment>
    <comment ref="F198" authorId="0" shapeId="0">
      <text>
        <t>Closing = MAX(0, Opening - Principal). Loan: Atlantic Union, 25 Trailers (June 2024). Source: data/loans.md - Atlantic Union Eq Finance, Loan 3</t>
      </text>
    </comment>
    <comment ref="C199" authorId="0" shapeId="0">
      <text>
        <t>Links to: Previous month closing balance</t>
      </text>
    </comment>
    <comment ref="D199" authorId="0" shapeId="0">
      <text>
        <t>Interest = MAX(0, Opening * Annual Rate / 12). Loan: Atlantic Union, 25 Trailers (June 2024). Source: data/loans.md - Atlantic Union Eq Finance, Loan 3</t>
      </text>
    </comment>
    <comment ref="E199" authorId="0" shapeId="0">
      <text>
        <t>Principal = MAX(0, MIN(Opening, Payment - Interest)). Loan: Atlantic Union, 25 Trailers (June 2024). Source: data/loans.md - Atlantic Union Eq Finance, Loan 3</t>
      </text>
    </comment>
    <comment ref="F199" authorId="0" shapeId="0">
      <text>
        <t>Closing = MAX(0, Opening - Principal). Loan: Atlantic Union, 25 Trailers (June 2024). Source: data/loans.md - Atlantic Union Eq Finance, Loan 3</t>
      </text>
    </comment>
    <comment ref="C200" authorId="0" shapeId="0">
      <text>
        <t>Links to: Previous month closing balance</t>
      </text>
    </comment>
    <comment ref="D200" authorId="0" shapeId="0">
      <text>
        <t>Interest = MAX(0, Opening * Annual Rate / 12). Loan: Atlantic Union, 25 Trailers (June 2024). Source: data/loans.md - Atlantic Union Eq Finance, Loan 3</t>
      </text>
    </comment>
    <comment ref="E200" authorId="0" shapeId="0">
      <text>
        <t>Principal = MAX(0, MIN(Opening, Payment - Interest)). Loan: Atlantic Union, 25 Trailers (June 2024). Source: data/loans.md - Atlantic Union Eq Finance, Loan 3</t>
      </text>
    </comment>
    <comment ref="F200" authorId="0" shapeId="0">
      <text>
        <t>Closing = MAX(0, Opening - Principal). Loan: Atlantic Union, 25 Trailers (June 2024). Source: data/loans.md - Atlantic Union Eq Finance, Loan 3</t>
      </text>
    </comment>
    <comment ref="C201" authorId="0" shapeId="0">
      <text>
        <t>Links to: Previous month closing balance</t>
      </text>
    </comment>
    <comment ref="D201" authorId="0" shapeId="0">
      <text>
        <t>Interest = MAX(0, Opening * Annual Rate / 12). Loan: Atlantic Union, 25 Trailers (June 2024). Source: data/loans.md - Atlantic Union Eq Finance, Loan 3</t>
      </text>
    </comment>
    <comment ref="E201" authorId="0" shapeId="0">
      <text>
        <t>Principal = MAX(0, MIN(Opening, Payment - Interest)). Loan: Atlantic Union, 25 Trailers (June 2024). Source: data/loans.md - Atlantic Union Eq Finance, Loan 3</t>
      </text>
    </comment>
    <comment ref="F201" authorId="0" shapeId="0">
      <text>
        <t>Closing = MAX(0, Opening - Principal). Loan: Atlantic Union, 25 Trailers (June 2024). Source: data/loans.md - Atlantic Union Eq Finance, Loan 3</t>
      </text>
    </comment>
    <comment ref="C202" authorId="0" shapeId="0">
      <text>
        <t>Links to: Previous month closing balance</t>
      </text>
    </comment>
    <comment ref="D202" authorId="0" shapeId="0">
      <text>
        <t>Interest = MAX(0, Opening * Annual Rate / 12). Loan: Atlantic Union, 25 Trailers (June 2024). Source: data/loans.md - Atlantic Union Eq Finance, Loan 3</t>
      </text>
    </comment>
    <comment ref="E202" authorId="0" shapeId="0">
      <text>
        <t>Principal = MAX(0, MIN(Opening, Payment - Interest)). Loan: Atlantic Union, 25 Trailers (June 2024). Source: data/loans.md - Atlantic Union Eq Finance, Loan 3</t>
      </text>
    </comment>
    <comment ref="F202" authorId="0" shapeId="0">
      <text>
        <t>Closing = MAX(0, Opening - Principal). Loan: Atlantic Union, 25 Trailers (June 2024). Source: data/loans.md - Atlantic Union Eq Finance, Loan 3</t>
      </text>
    </comment>
    <comment ref="C203" authorId="0" shapeId="0">
      <text>
        <t>Links to: Previous month closing balance</t>
      </text>
    </comment>
    <comment ref="D203" authorId="0" shapeId="0">
      <text>
        <t>Interest = MAX(0, Opening * Annual Rate / 12). Loan: Atlantic Union, 25 Trailers (June 2024). Source: data/loans.md - Atlantic Union Eq Finance, Loan 3</t>
      </text>
    </comment>
    <comment ref="E203" authorId="0" shapeId="0">
      <text>
        <t>Principal = MAX(0, MIN(Opening, Payment - Interest)). Loan: Atlantic Union, 25 Trailers (June 2024). Source: data/loans.md - Atlantic Union Eq Finance, Loan 3</t>
      </text>
    </comment>
    <comment ref="F203" authorId="0" shapeId="0">
      <text>
        <t>Closing = MAX(0, Opening - Principal). Loan: Atlantic Union, 25 Trailers (June 2024). Source: data/loans.md - Atlantic Union Eq Finance, Loan 3</t>
      </text>
    </comment>
    <comment ref="C204" authorId="0" shapeId="0">
      <text>
        <t>Links to: Previous month closing balance</t>
      </text>
    </comment>
    <comment ref="D204" authorId="0" shapeId="0">
      <text>
        <t>Interest = MAX(0, Opening * Annual Rate / 12). Loan: Atlantic Union, 25 Trailers (June 2024). Source: data/loans.md - Atlantic Union Eq Finance, Loan 3</t>
      </text>
    </comment>
    <comment ref="E204" authorId="0" shapeId="0">
      <text>
        <t>Principal = MAX(0, MIN(Opening, Payment - Interest)). Loan: Atlantic Union, 25 Trailers (June 2024). Source: data/loans.md - Atlantic Union Eq Finance, Loan 3</t>
      </text>
    </comment>
    <comment ref="F204" authorId="0" shapeId="0">
      <text>
        <t>Closing = MAX(0, Opening - Principal). Loan: Atlantic Union, 25 Trailers (June 2024). Source: data/loans.md - Atlantic Union Eq Finance, Loan 3</t>
      </text>
    </comment>
    <comment ref="C205" authorId="0" shapeId="0">
      <text>
        <t>Links to: Previous month closing balance</t>
      </text>
    </comment>
    <comment ref="D205" authorId="0" shapeId="0">
      <text>
        <t>Interest = MAX(0, Opening * Annual Rate / 12). Loan: Atlantic Union, 25 Trailers (June 2024). Source: data/loans.md - Atlantic Union Eq Finance, Loan 3</t>
      </text>
    </comment>
    <comment ref="E205" authorId="0" shapeId="0">
      <text>
        <t>Principal = MAX(0, MIN(Opening, Payment - Interest)). Loan: Atlantic Union, 25 Trailers (June 2024). Source: data/loans.md - Atlantic Union Eq Finance, Loan 3</t>
      </text>
    </comment>
    <comment ref="F205" authorId="0" shapeId="0">
      <text>
        <t>Closing = MAX(0, Opening - Principal). Loan: Atlantic Union, 25 Trailers (June 2024). Source: data/loans.md - Atlantic Union Eq Finance, Loan 3</t>
      </text>
    </comment>
    <comment ref="C206" authorId="0" shapeId="0">
      <text>
        <t>Links to: Previous month closing balance</t>
      </text>
    </comment>
    <comment ref="D206" authorId="0" shapeId="0">
      <text>
        <t>Interest = MAX(0, Opening * Annual Rate / 12). Loan: Atlantic Union, 25 Trailers (June 2024). Source: data/loans.md - Atlantic Union Eq Finance, Loan 3</t>
      </text>
    </comment>
    <comment ref="E206" authorId="0" shapeId="0">
      <text>
        <t>Principal = MAX(0, MIN(Opening, Payment - Interest)). Loan: Atlantic Union, 25 Trailers (June 2024). Source: data/loans.md - Atlantic Union Eq Finance, Loan 3</t>
      </text>
    </comment>
    <comment ref="F206" authorId="0" shapeId="0">
      <text>
        <t>Closing = MAX(0, Opening - Principal). Loan: Atlantic Union, 25 Trailers (June 2024). Source: data/loans.md - Atlantic Union Eq Finance, Loan 3</t>
      </text>
    </comment>
    <comment ref="C207" authorId="0" shapeId="0">
      <text>
        <t>Links to: Previous month closing balance</t>
      </text>
    </comment>
    <comment ref="D207" authorId="0" shapeId="0">
      <text>
        <t>Interest = MAX(0, Opening * Annual Rate / 12). Loan: Atlantic Union, 25 Trailers (June 2024). Source: data/loans.md - Atlantic Union Eq Finance, Loan 3</t>
      </text>
    </comment>
    <comment ref="E207" authorId="0" shapeId="0">
      <text>
        <t>Principal = MAX(0, MIN(Opening, Payment - Interest)). Loan: Atlantic Union, 25 Trailers (June 2024). Source: data/loans.md - Atlantic Union Eq Finance, Loan 3</t>
      </text>
    </comment>
    <comment ref="F207" authorId="0" shapeId="0">
      <text>
        <t>Closing = MAX(0, Opening - Principal). Loan: Atlantic Union, 25 Trailers (June 2024). Source: data/loans.md - Atlantic Union Eq Finance, Loan 3</t>
      </text>
    </comment>
    <comment ref="C208" authorId="0" shapeId="0">
      <text>
        <t>Links to: Previous month closing balance</t>
      </text>
    </comment>
    <comment ref="D208" authorId="0" shapeId="0">
      <text>
        <t>Interest = MAX(0, Opening * Annual Rate / 12). Loan: Atlantic Union, 25 Trailers (June 2024). Source: data/loans.md - Atlantic Union Eq Finance, Loan 3</t>
      </text>
    </comment>
    <comment ref="E208" authorId="0" shapeId="0">
      <text>
        <t>Principal = MAX(0, MIN(Opening, Payment - Interest)). Loan: Atlantic Union, 25 Trailers (June 2024). Source: data/loans.md - Atlantic Union Eq Finance, Loan 3</t>
      </text>
    </comment>
    <comment ref="F208" authorId="0" shapeId="0">
      <text>
        <t>Closing = MAX(0, Opening - Principal). Loan: Atlantic Union, 25 Trailers (June 2024). Source: data/loans.md - Atlantic Union Eq Finance, Loan 3</t>
      </text>
    </comment>
    <comment ref="C209" authorId="0" shapeId="0">
      <text>
        <t>Links to: Previous month closing balance</t>
      </text>
    </comment>
    <comment ref="D209" authorId="0" shapeId="0">
      <text>
        <t>Interest = MAX(0, Opening * Annual Rate / 12). Loan: Atlantic Union, 25 Trailers (June 2024). Source: data/loans.md - Atlantic Union Eq Finance, Loan 3</t>
      </text>
    </comment>
    <comment ref="E209" authorId="0" shapeId="0">
      <text>
        <t>Principal = MAX(0, MIN(Opening, Payment - Interest)). Loan: Atlantic Union, 25 Trailers (June 2024). Source: data/loans.md - Atlantic Union Eq Finance, Loan 3</t>
      </text>
    </comment>
    <comment ref="F209" authorId="0" shapeId="0">
      <text>
        <t>Closing = MAX(0, Opening - Principal). Loan: Atlantic Union, 25 Trailers (June 2024). Source: data/loans.md - Atlantic Union Eq Finance, Loan 3</t>
      </text>
    </comment>
    <comment ref="C210" authorId="0" shapeId="0">
      <text>
        <t>Links to: Previous month closing balance</t>
      </text>
    </comment>
    <comment ref="D210" authorId="0" shapeId="0">
      <text>
        <t>Interest = MAX(0, Opening * Annual Rate / 12). Loan: Atlantic Union, 25 Trailers (June 2024). Source: data/loans.md - Atlantic Union Eq Finance, Loan 3</t>
      </text>
    </comment>
    <comment ref="E210" authorId="0" shapeId="0">
      <text>
        <t>Principal = MAX(0, MIN(Opening, Payment - Interest)). Loan: Atlantic Union, 25 Trailers (June 2024). Source: data/loans.md - Atlantic Union Eq Finance, Loan 3</t>
      </text>
    </comment>
    <comment ref="F210" authorId="0" shapeId="0">
      <text>
        <t>Closing = MAX(0, Opening - Principal). Loan: Atlantic Union, 25 Trailers (June 2024). Source: data/loans.md - Atlantic Union Eq Finance, Loan 3</t>
      </text>
    </comment>
    <comment ref="C211" authorId="0" shapeId="0">
      <text>
        <t>Links to: Previous month closing balance</t>
      </text>
    </comment>
    <comment ref="D211" authorId="0" shapeId="0">
      <text>
        <t>Interest = MAX(0, Opening * Annual Rate / 12). Loan: Atlantic Union, 25 Trailers (June 2024). Source: data/loans.md - Atlantic Union Eq Finance, Loan 3</t>
      </text>
    </comment>
    <comment ref="E211" authorId="0" shapeId="0">
      <text>
        <t>Principal = MAX(0, MIN(Opening, Payment - Interest)). Loan: Atlantic Union, 25 Trailers (June 2024). Source: data/loans.md - Atlantic Union Eq Finance, Loan 3</t>
      </text>
    </comment>
    <comment ref="F211" authorId="0" shapeId="0">
      <text>
        <t>Closing = MAX(0, Opening - Principal). Loan: Atlantic Union, 25 Trailers (June 2024). Source: data/loans.md - Atlantic Union Eq Finance, Loan 3</t>
      </text>
    </comment>
    <comment ref="C212" authorId="0" shapeId="0">
      <text>
        <t>Links to: Previous month closing balance</t>
      </text>
    </comment>
    <comment ref="D212" authorId="0" shapeId="0">
      <text>
        <t>Interest = MAX(0, Opening * Annual Rate / 12). Loan: Atlantic Union, 25 Trailers (June 2024). Source: data/loans.md - Atlantic Union Eq Finance, Loan 3</t>
      </text>
    </comment>
    <comment ref="E212" authorId="0" shapeId="0">
      <text>
        <t>Principal = MAX(0, MIN(Opening, Payment - Interest)). Loan: Atlantic Union, 25 Trailers (June 2024). Source: data/loans.md - Atlantic Union Eq Finance, Loan 3</t>
      </text>
    </comment>
    <comment ref="F212" authorId="0" shapeId="0">
      <text>
        <t>Closing = MAX(0, Opening - Principal). Loan: Atlantic Union, 25 Trailers (June 2024). Source: data/loans.md - Atlantic Union Eq Finance, Loan 3</t>
      </text>
    </comment>
    <comment ref="C213" authorId="0" shapeId="0">
      <text>
        <t>Links to: Previous month closing balance</t>
      </text>
    </comment>
    <comment ref="D213" authorId="0" shapeId="0">
      <text>
        <t>Interest = MAX(0, Opening * Annual Rate / 12). Loan: Atlantic Union, 25 Trailers (June 2024). Source: data/loans.md - Atlantic Union Eq Finance, Loan 3</t>
      </text>
    </comment>
    <comment ref="E213" authorId="0" shapeId="0">
      <text>
        <t>Principal = MAX(0, MIN(Opening, Payment - Interest)). Loan: Atlantic Union, 25 Trailers (June 2024). Source: data/loans.md - Atlantic Union Eq Finance, Loan 3</t>
      </text>
    </comment>
    <comment ref="F213" authorId="0" shapeId="0">
      <text>
        <t>Closing = MAX(0, Opening - Principal). Loan: Atlantic Union, 25 Trailers (June 2024). Source: data/loans.md - Atlantic Union Eq Finance, Loan 3</t>
      </text>
    </comment>
    <comment ref="C214" authorId="0" shapeId="0">
      <text>
        <t>Links to: Previous month closing balance</t>
      </text>
    </comment>
    <comment ref="D214" authorId="0" shapeId="0">
      <text>
        <t>Interest = MAX(0, Opening * Annual Rate / 12). Loan: Atlantic Union, 25 Trailers (June 2024). Source: data/loans.md - Atlantic Union Eq Finance, Loan 3</t>
      </text>
    </comment>
    <comment ref="E214" authorId="0" shapeId="0">
      <text>
        <t>Principal = MAX(0, MIN(Opening, Payment - Interest)). Loan: Atlantic Union, 25 Trailers (June 2024). Source: data/loans.md - Atlantic Union Eq Finance, Loan 3</t>
      </text>
    </comment>
    <comment ref="F214" authorId="0" shapeId="0">
      <text>
        <t>Closing = MAX(0, Opening - Principal). Loan: Atlantic Union, 25 Trailers (June 2024). Source: data/loans.md - Atlantic Union Eq Finance, Loan 3</t>
      </text>
    </comment>
    <comment ref="C215" authorId="0" shapeId="0">
      <text>
        <t>Links to: Previous month closing balance</t>
      </text>
    </comment>
    <comment ref="D215" authorId="0" shapeId="0">
      <text>
        <t>Interest = MAX(0, Opening * Annual Rate / 12). Loan: Atlantic Union, 25 Trailers (June 2024). Source: data/loans.md - Atlantic Union Eq Finance, Loan 3</t>
      </text>
    </comment>
    <comment ref="E215" authorId="0" shapeId="0">
      <text>
        <t>Principal = MAX(0, MIN(Opening, Payment - Interest)). Loan: Atlantic Union, 25 Trailers (June 2024). Source: data/loans.md - Atlantic Union Eq Finance, Loan 3</t>
      </text>
    </comment>
    <comment ref="F215" authorId="0" shapeId="0">
      <text>
        <t>Closing = MAX(0, Opening - Principal). Loan: Atlantic Union, 25 Trailers (June 2024). Source: data/loans.md - Atlantic Union Eq Finance, Loan 3</t>
      </text>
    </comment>
    <comment ref="C216" authorId="0" shapeId="0">
      <text>
        <t>Links to: Previous month closing balance</t>
      </text>
    </comment>
    <comment ref="D216" authorId="0" shapeId="0">
      <text>
        <t>Interest = MAX(0, Opening * Annual Rate / 12). Loan: Atlantic Union, 25 Trailers (June 2024). Source: data/loans.md - Atlantic Union Eq Finance, Loan 3</t>
      </text>
    </comment>
    <comment ref="E216" authorId="0" shapeId="0">
      <text>
        <t>Principal = MAX(0, MIN(Opening, Payment - Interest)). Loan: Atlantic Union, 25 Trailers (June 2024). Source: data/loans.md - Atlantic Union Eq Finance, Loan 3</t>
      </text>
    </comment>
    <comment ref="F216" authorId="0" shapeId="0">
      <text>
        <t>Closing = MAX(0, Opening - Principal). Loan: Atlantic Union, 25 Trailers (June 2024). Source: data/loans.md - Atlantic Union Eq Finance, Loan 3</t>
      </text>
    </comment>
    <comment ref="C217" authorId="0" shapeId="0">
      <text>
        <t>Links to: Previous month closing balance</t>
      </text>
    </comment>
    <comment ref="D217" authorId="0" shapeId="0">
      <text>
        <t>Interest = MAX(0, Opening * Annual Rate / 12). Loan: Atlantic Union, 25 Trailers (June 2024). Source: data/loans.md - Atlantic Union Eq Finance, Loan 3</t>
      </text>
    </comment>
    <comment ref="E217" authorId="0" shapeId="0">
      <text>
        <t>Principal = MAX(0, MIN(Opening, Payment - Interest)). Loan: Atlantic Union, 25 Trailers (June 2024). Source: data/loans.md - Atlantic Union Eq Finance, Loan 3</t>
      </text>
    </comment>
    <comment ref="F217" authorId="0" shapeId="0">
      <text>
        <t>Closing = MAX(0, Opening - Principal). Loan: Atlantic Union, 25 Trailers (June 2024). Source: data/loans.md - Atlantic Union Eq Finance, Loan 3</t>
      </text>
    </comment>
    <comment ref="C218" authorId="0" shapeId="0">
      <text>
        <t>Links to: Previous month closing balance</t>
      </text>
    </comment>
    <comment ref="D218" authorId="0" shapeId="0">
      <text>
        <t>Interest = MAX(0, Opening * Annual Rate / 12). Loan: Atlantic Union, 25 Trailers (June 2024). Source: data/loans.md - Atlantic Union Eq Finance, Loan 3</t>
      </text>
    </comment>
    <comment ref="E218" authorId="0" shapeId="0">
      <text>
        <t>Principal = MAX(0, MIN(Opening, Payment - Interest)). Loan: Atlantic Union, 25 Trailers (June 2024). Source: data/loans.md - Atlantic Union Eq Finance, Loan 3</t>
      </text>
    </comment>
    <comment ref="F218" authorId="0" shapeId="0">
      <text>
        <t>Closing = MAX(0, Opening - Principal). Loan: Atlantic Union, 25 Trailers (June 2024). Source: data/loans.md - Atlantic Union Eq Finance, Loan 3</t>
      </text>
    </comment>
    <comment ref="C219" authorId="0" shapeId="0">
      <text>
        <t>Links to: Previous month closing balance</t>
      </text>
    </comment>
    <comment ref="D219" authorId="0" shapeId="0">
      <text>
        <t>Interest = MAX(0, Opening * Annual Rate / 12). Loan: Atlantic Union, 25 Trailers (June 2024). Source: data/loans.md - Atlantic Union Eq Finance, Loan 3</t>
      </text>
    </comment>
    <comment ref="E219" authorId="0" shapeId="0">
      <text>
        <t>Principal = MAX(0, MIN(Opening, Payment - Interest)). Loan: Atlantic Union, 25 Trailers (June 2024). Source: data/loans.md - Atlantic Union Eq Finance, Loan 3</t>
      </text>
    </comment>
    <comment ref="F219" authorId="0" shapeId="0">
      <text>
        <t>Closing = MAX(0, Opening - Principal). Loan: Atlantic Union, 25 Trailers (June 2024). Source: data/loans.md - Atlantic Union Eq Finance, Loan 3</t>
      </text>
    </comment>
    <comment ref="C220" authorId="0" shapeId="0">
      <text>
        <t>Links to: Previous month closing balance</t>
      </text>
    </comment>
    <comment ref="D220" authorId="0" shapeId="0">
      <text>
        <t>Interest = MAX(0, Opening * Annual Rate / 12). Loan: Atlantic Union, 25 Trailers (June 2024). Source: data/loans.md - Atlantic Union Eq Finance, Loan 3</t>
      </text>
    </comment>
    <comment ref="E220" authorId="0" shapeId="0">
      <text>
        <t>Principal = MAX(0, MIN(Opening, Payment - Interest)). Loan: Atlantic Union, 25 Trailers (June 2024). Source: data/loans.md - Atlantic Union Eq Finance, Loan 3</t>
      </text>
    </comment>
    <comment ref="F220" authorId="0" shapeId="0">
      <text>
        <t>Closing = MAX(0, Opening - Principal). Loan: Atlantic Union, 25 Trailers (June 2024). Source: data/loans.md - Atlantic Union Eq Finance, Loan 3</t>
      </text>
    </comment>
    <comment ref="C221" authorId="0" shapeId="0">
      <text>
        <t>Links to: Previous month closing balance</t>
      </text>
    </comment>
    <comment ref="D221" authorId="0" shapeId="0">
      <text>
        <t>Interest = MAX(0, Opening * Annual Rate / 12). Loan: Atlantic Union, 25 Trailers (June 2024). Source: data/loans.md - Atlantic Union Eq Finance, Loan 3</t>
      </text>
    </comment>
    <comment ref="E221" authorId="0" shapeId="0">
      <text>
        <t>Principal = MAX(0, MIN(Opening, Payment - Interest)). Loan: Atlantic Union, 25 Trailers (June 2024). Source: data/loans.md - Atlantic Union Eq Finance, Loan 3</t>
      </text>
    </comment>
    <comment ref="F221" authorId="0" shapeId="0">
      <text>
        <t>Closing = MAX(0, Opening - Principal). Loan: Atlantic Union, 25 Trailers (June 2024). Source: data/loans.md - Atlantic Union Eq Finance, Loan 3</t>
      </text>
    </comment>
    <comment ref="C222" authorId="0" shapeId="0">
      <text>
        <t>Links to: Previous month closing balance</t>
      </text>
    </comment>
    <comment ref="D222" authorId="0" shapeId="0">
      <text>
        <t>Interest = MAX(0, Opening * Annual Rate / 12). Loan: Atlantic Union, 25 Trailers (June 2024). Source: data/loans.md - Atlantic Union Eq Finance, Loan 3</t>
      </text>
    </comment>
    <comment ref="E222" authorId="0" shapeId="0">
      <text>
        <t>Principal = MAX(0, MIN(Opening, Payment - Interest)). Loan: Atlantic Union, 25 Trailers (June 2024). Source: data/loans.md - Atlantic Union Eq Finance, Loan 3</t>
      </text>
    </comment>
    <comment ref="F222" authorId="0" shapeId="0">
      <text>
        <t>Closing = MAX(0, Opening - Principal). Loan: Atlantic Union, 25 Trailers (June 2024). Source: data/loans.md - Atlantic Union Eq Finance, Loan 3</t>
      </text>
    </comment>
    <comment ref="C223" authorId="0" shapeId="0">
      <text>
        <t>Links to: Previous month closing balance</t>
      </text>
    </comment>
    <comment ref="D223" authorId="0" shapeId="0">
      <text>
        <t>Interest = MAX(0, Opening * Annual Rate / 12). Loan: Atlantic Union, 25 Trailers (June 2024). Source: data/loans.md - Atlantic Union Eq Finance, Loan 3</t>
      </text>
    </comment>
    <comment ref="E223" authorId="0" shapeId="0">
      <text>
        <t>Principal = MAX(0, MIN(Opening, Payment - Interest)). Loan: Atlantic Union, 25 Trailers (June 2024). Source: data/loans.md - Atlantic Union Eq Finance, Loan 3</t>
      </text>
    </comment>
    <comment ref="F223" authorId="0" shapeId="0">
      <text>
        <t>Closing = MAX(0, Opening - Principal). Loan: Atlantic Union, 25 Trailers (June 2024). Source: data/loans.md - Atlantic Union Eq Finance, Loan 3</t>
      </text>
    </comment>
    <comment ref="C224" authorId="0" shapeId="0">
      <text>
        <t>Links to: Previous month closing balance</t>
      </text>
    </comment>
    <comment ref="D224" authorId="0" shapeId="0">
      <text>
        <t>Interest = MAX(0, Opening * Annual Rate / 12). Loan: Atlantic Union, 25 Trailers (June 2024). Source: data/loans.md - Atlantic Union Eq Finance, Loan 3</t>
      </text>
    </comment>
    <comment ref="E224" authorId="0" shapeId="0">
      <text>
        <t>Principal = MAX(0, MIN(Opening, Payment - Interest)). Loan: Atlantic Union, 25 Trailers (June 2024). Source: data/loans.md - Atlantic Union Eq Finance, Loan 3</t>
      </text>
    </comment>
    <comment ref="F224" authorId="0" shapeId="0">
      <text>
        <t>Closing = MAX(0, Opening - Principal). Loan: Atlantic Union, 25 Trailers (June 2024). Source: data/loans.md - Atlantic Union Eq Finance, Loan 3</t>
      </text>
    </comment>
    <comment ref="C225" authorId="0" shapeId="0">
      <text>
        <t>Links to: Previous month closing balance</t>
      </text>
    </comment>
    <comment ref="D225" authorId="0" shapeId="0">
      <text>
        <t>Interest = MAX(0, Opening * Annual Rate / 12). Loan: Atlantic Union, 25 Trailers (June 2024). Source: data/loans.md - Atlantic Union Eq Finance, Loan 3</t>
      </text>
    </comment>
    <comment ref="E225" authorId="0" shapeId="0">
      <text>
        <t>Principal = MAX(0, MIN(Opening, Payment - Interest)). Loan: Atlantic Union, 25 Trailers (June 2024). Source: data/loans.md - Atlantic Union Eq Finance, Loan 3</t>
      </text>
    </comment>
    <comment ref="F225" authorId="0" shapeId="0">
      <text>
        <t>Closing = MAX(0, Opening - Principal). Loan: Atlantic Union, 25 Trailers (June 2024). Source: data/loans.md - Atlantic Union Eq Finance, Loan 3</t>
      </text>
    </comment>
    <comment ref="C226" authorId="0" shapeId="0">
      <text>
        <t>Links to: Previous month closing balance</t>
      </text>
    </comment>
    <comment ref="D226" authorId="0" shapeId="0">
      <text>
        <t>Interest = MAX(0, Opening * Annual Rate / 12). Loan: Atlantic Union, 25 Trailers (June 2024). Source: data/loans.md - Atlantic Union Eq Finance, Loan 3</t>
      </text>
    </comment>
    <comment ref="E226" authorId="0" shapeId="0">
      <text>
        <t>Principal = MAX(0, MIN(Opening, Payment - Interest)). Loan: Atlantic Union, 25 Trailers (June 2024). Source: data/loans.md - Atlantic Union Eq Finance, Loan 3</t>
      </text>
    </comment>
    <comment ref="F226" authorId="0" shapeId="0">
      <text>
        <t>Closing = MAX(0, Opening - Principal). Loan: Atlantic Union, 25 Trailers (June 2024). Source: data/loans.md - Atlantic Union Eq Finance, Loan 3</t>
      </text>
    </comment>
    <comment ref="C230" authorId="0" shapeId="0">
      <text>
        <t>Sum of individual loan remaining balances from rows 18, 81, 146</t>
      </text>
    </comment>
    <comment ref="C231" authorId="0" shapeId="0">
      <text>
        <t>Sum of individual loan monthly payments from rows 20, 83, 148</t>
      </text>
    </comment>
    <comment ref="C232" authorId="0" shapeId="0">
      <text>
        <t>Check: must be 0. Non-zero = model error.</t>
      </text>
    </comment>
    <comment ref="C233" authorId="0" shapeId="0">
      <text>
        <t>Check: must be 0. Non-zero = model error.</t>
      </text>
    </comment>
  </commentList>
</comments>
</file>

<file path=xl/comments/comment21.xml><?xml version="1.0" encoding="utf-8"?>
<comments xmlns="http://schemas.openxmlformats.org/spreadsheetml/2006/main">
  <authors>
    <author>Model Builder</author>
  </authors>
  <commentList>
    <comment ref="C5" authorId="0" shapeId="0">
      <text>
        <t>Source: Balance Sheet from reviewed financials. Value = 1,133,547. Check row 75 shows variance vs Cash Flow ending cash.</t>
      </text>
    </comment>
    <comment ref="D5" authorId="0" shapeId="0">
      <text>
        <t>Source: Balance Sheet from reviewed financials. Value = 2,799,393. Check row 75 shows variance vs Cash Flow ending cash.</t>
      </text>
    </comment>
    <comment ref="E5" authorId="0" shapeId="0">
      <text>
        <t>Source: Balance Sheet from reviewed financials. Value = 3,163,343. Check row 75 shows variance vs Cash Flow ending cash.</t>
      </text>
    </comment>
    <comment ref="F5" authorId="0" shapeId="0">
      <text>
        <t>Source: Balance Sheet from reviewed financials. Value = 2,666,062. Check row 75 shows variance vs Cash Flow ending cash.</t>
      </text>
    </comment>
    <comment ref="G5" authorId="0" shapeId="0">
      <text>
        <t>Source: Balance Sheet from reviewed financials. Value = 1,357,280. Check row 75 shows variance vs Cash Flow ending cash.</t>
      </text>
    </comment>
    <comment ref="H5" authorId="0" shapeId="0">
      <text>
        <t>Links to: Cash Flow row 42 - Ending Cash. 3-statement integration: CF calculates cash, BS follows.</t>
      </text>
    </comment>
    <comment ref="I5" authorId="0" shapeId="0">
      <text>
        <t>Links to: Cash Flow row 42 - Ending Cash. 3-statement integration: CF calculates cash, BS follows.</t>
      </text>
    </comment>
    <comment ref="C6" authorId="0" shapeId="0">
      <text>
        <t>A/R net of allowance
Source: Reviewed FS 2022 (Dec 31, 2021 comparative)
Extracted: 2026-05-19</t>
      </text>
    </comment>
    <comment ref="D6" authorId="0" shapeId="0">
      <text>
        <t>A/R net of allowance
Source: Reviewed FS 2022 (Dec 31, 2022)
Extracted: 2026-05-19</t>
      </text>
    </comment>
    <comment ref="E6" authorId="0" shapeId="0">
      <text>
        <t>A/R net of allowance
Source: Reviewed FS 2023 (Dec 31, 2023)
Extracted: 2026-05-19</t>
      </text>
    </comment>
    <comment ref="F6" authorId="0" shapeId="0">
      <text>
        <t>A/R net of allowance
Source: Reviewed FS 2024 (Dec 31, 2024)
Extracted: 2026-05-19</t>
      </text>
    </comment>
    <comment ref="G6" authorId="0" shapeId="0">
      <text>
        <t>A/R net of allowance
Source: Financial Package Excel Dec 31, 2025 (Internal)
Extracted: 2026-05-19</t>
      </text>
    </comment>
    <comment ref="H6" authorId="0" shapeId="0">
      <text>
        <t>Projection: A/R = Projected Revenue * DSO / 365
DSO: Downside=45, Base=38, Upside=32
Revenue growth from Assumptions row 8</t>
      </text>
    </comment>
    <comment ref="I6" authorId="0" shapeId="0">
      <text>
        <t>Projection: A/R = Projected Revenue 2027E * DSO / 365
DSO: Downside=45, Base=38, Upside=32
Revenue growth from Assumptions rows 8-9</t>
      </text>
    </comment>
    <comment ref="C7" authorId="0" shapeId="0">
      <text>
        <t>Inventory per FS
Source: Reviewed FS 2022 (Dec 31, 2021 comparative)
Extracted: 2026-05-19</t>
      </text>
    </comment>
    <comment ref="D7" authorId="0" shapeId="0">
      <text>
        <t>Inventory per FS
Source: Reviewed FS 2022 (Dec 31, 2022)
Extracted: 2026-05-19</t>
      </text>
    </comment>
    <comment ref="E7" authorId="0" shapeId="0">
      <text>
        <t>Inventory per FS
Source: Reviewed FS 2023 (Dec 31, 2023)
Extracted: 2026-05-19</t>
      </text>
    </comment>
    <comment ref="F7" authorId="0" shapeId="0">
      <text>
        <t>Inventory per FS
Source: Reviewed FS 2024 (Dec 31, 2024)
Extracted: 2026-05-19</t>
      </text>
    </comment>
    <comment ref="G7" authorId="0" shapeId="0">
      <text>
        <t>Inventory per FS
Source: Financial Package Excel Dec 31, 2025 (Internal)
Extracted: 2026-05-19</t>
      </text>
    </comment>
    <comment ref="H7" authorId="0" shapeId="0">
      <text>
        <t>Projection: Inventory = Projected Revenue * COGS% * Inventory Days / 365
Inventory Days: Downside=10, Base=7, Upside=5</t>
      </text>
    </comment>
    <comment ref="I7" authorId="0" shapeId="0">
      <text>
        <t>Projection: Inventory = Projected Revenue 2027E * COGS% * Inventory Days / 365
Inventory Days: Downside=10, Base=7, Upside=5</t>
      </text>
    </comment>
    <comment ref="C8" authorId="0" shapeId="0">
      <text>
        <t>Current portion N/R
Source: Reviewed FS 2022 (Dec 31, 2021 comparative)
Extracted: 2026-05-19</t>
      </text>
    </comment>
    <comment ref="D8" authorId="0" shapeId="0">
      <text>
        <t>Current portion N/R
Source: Reviewed FS 2022 (Dec 31, 2022)
Extracted: 2026-05-19</t>
      </text>
    </comment>
    <comment ref="E8" authorId="0" shapeId="0">
      <text>
        <t>Current portion N/R
Source: Reviewed FS 2023 (Dec 31, 2023)
Extracted: 2026-05-19</t>
      </text>
    </comment>
    <comment ref="F8" authorId="0" shapeId="0">
      <text>
        <t>Current portion N/R
Source: Reviewed FS 2024 (Dec 31, 2024)
Extracted: 2026-05-19</t>
      </text>
    </comment>
    <comment ref="G8" authorId="0" shapeId="0">
      <text>
        <t>Current portion N/R
Source: Financial Package Excel Dec 31, 2025 (Internal)
Extracted: 2026-05-19</t>
      </text>
    </comment>
    <comment ref="H8" authorId="0" shapeId="0">
      <text>
        <t>Projection: Held flat from prior year</t>
      </text>
    </comment>
    <comment ref="I8" authorId="0" shapeId="0">
      <text>
        <t>Projection: Held flat from prior year</t>
      </text>
    </comment>
    <comment ref="C9" authorId="0" shapeId="0">
      <text>
        <t>Prepaid expenses
Source: Reviewed FS 2022 (Dec 31, 2021 comparative)
Extracted: 2026-05-19</t>
      </text>
    </comment>
    <comment ref="D9" authorId="0" shapeId="0">
      <text>
        <t>Prepaid expenses
Source: Reviewed FS 2022 (Dec 31, 2022)
Extracted: 2026-05-19</t>
      </text>
    </comment>
    <comment ref="E9" authorId="0" shapeId="0">
      <text>
        <t>Prepaid expenses
Source: Reviewed FS 2023 (Dec 31, 2023)
Extracted: 2026-05-19</t>
      </text>
    </comment>
    <comment ref="F9" authorId="0" shapeId="0">
      <text>
        <t>Prepaid expenses
Source: Reviewed FS 2024 (Dec 31, 2024)
Extracted: 2026-05-19</t>
      </text>
    </comment>
    <comment ref="G9" authorId="0" shapeId="0">
      <text>
        <t>Prepaid expenses
Source: Financial Package Excel Dec 31, 2025 (Internal)
Extracted: 2026-05-19</t>
      </text>
    </comment>
    <comment ref="H9" authorId="0" shapeId="0">
      <text>
        <t>Projection: Grows with revenue growth rate</t>
      </text>
    </comment>
    <comment ref="I9" authorId="0" shapeId="0">
      <text>
        <t>Projection: Grows with revenue growth rate</t>
      </text>
    </comment>
    <comment ref="C10" authorId="0" shapeId="0">
      <text>
        <t>Other current assets (incl. investments 2021)
Source: Reviewed FS 2022 (Dec 31, 2021 comparative)
Extracted: 2026-05-19</t>
      </text>
    </comment>
    <comment ref="D10" authorId="0" shapeId="0">
      <text>
        <t>Other current assets (incl. investments 2021)
Source: Reviewed FS 2022 (Dec 31, 2022)
Extracted: 2026-05-19</t>
      </text>
    </comment>
    <comment ref="E10" authorId="0" shapeId="0">
      <text>
        <t>Other current assets (incl. investments 2021)
Source: Reviewed FS 2023 (Dec 31, 2023)
Extracted: 2026-05-19</t>
      </text>
    </comment>
    <comment ref="F10" authorId="0" shapeId="0">
      <text>
        <t>Other current assets (incl. investments 2021)
Source: Reviewed FS 2024 (Dec 31, 2024)
Extracted: 2026-05-19</t>
      </text>
    </comment>
    <comment ref="G10" authorId="0" shapeId="0">
      <text>
        <t>Other current assets (incl. investments 2021)
Source: Financial Package Excel Dec 31, 2025 (Internal)
Extracted: 2026-05-19</t>
      </text>
    </comment>
    <comment ref="H10" authorId="0" shapeId="0">
      <text>
        <t>Projection: Held flat from prior year</t>
      </text>
    </comment>
    <comment ref="I10" authorId="0" shapeId="0">
      <text>
        <t>Projection: Held flat from prior year</t>
      </text>
    </comment>
    <comment ref="C11" authorId="0" shapeId="0">
      <text>
        <t>Sum of rows 5-10</t>
      </text>
    </comment>
    <comment ref="D11" authorId="0" shapeId="0">
      <text>
        <t>Sum of rows 5-10</t>
      </text>
    </comment>
    <comment ref="E11" authorId="0" shapeId="0">
      <text>
        <t>Sum of rows 5-10</t>
      </text>
    </comment>
    <comment ref="F11" authorId="0" shapeId="0">
      <text>
        <t>Sum of rows 5-10</t>
      </text>
    </comment>
    <comment ref="G11" authorId="0" shapeId="0">
      <text>
        <t>Sum of rows 5-10</t>
      </text>
    </comment>
    <comment ref="H11" authorId="0" shapeId="0">
      <text>
        <t>Sum of rows 5-10: Cash through Other Current Assets</t>
      </text>
    </comment>
    <comment ref="I11" authorId="0" shapeId="0">
      <text>
        <t>Sum of rows 5-10: Cash through Other Current Assets</t>
      </text>
    </comment>
    <comment ref="C14" authorId="0" shapeId="0">
      <text>
        <t>Tractors &amp; trailers gross
Source: Reviewed FS 2022 (Dec 31, 2021 comparative)
Extracted: 2026-05-19</t>
      </text>
    </comment>
    <comment ref="D14" authorId="0" shapeId="0">
      <text>
        <t>Tractors &amp; trailers gross
Source: Reviewed FS 2022 (Dec 31, 2022)
Extracted: 2026-05-19</t>
      </text>
    </comment>
    <comment ref="E14" authorId="0" shapeId="0">
      <text>
        <t>Tractors &amp; trailers gross
Source: Reviewed FS 2023 (Dec 31, 2023)
Extracted: 2026-05-19</t>
      </text>
    </comment>
    <comment ref="F14" authorId="0" shapeId="0">
      <text>
        <t>Tractors &amp; trailers gross
Source: Reviewed FS 2024 (Dec 31, 2024)
Extracted: 2026-05-19</t>
      </text>
    </comment>
    <comment ref="G14" authorId="0" shapeId="0">
      <text>
        <t>Tractors &amp; trailers gross
Source: Financial Package Excel Dec 31, 2025 (Internal)
Extracted: 2026-05-19</t>
      </text>
    </comment>
    <comment ref="H14" authorId="0" shapeId="0">
      <text>
        <t>Projection: Prior + Maintenance CapEx (Rev * CapEx%) + Growth CapEx
CapEx%: Downside=4%, Base=3.5%, Upside=3%</t>
      </text>
    </comment>
    <comment ref="I14" authorId="0" shapeId="0">
      <text>
        <t>Projection: Prior + Maintenance CapEx (Rev * CapEx%) + Growth CapEx</t>
      </text>
    </comment>
    <comment ref="C15" authorId="0" shapeId="0">
      <text>
        <t>Land and building gross
Source: Reviewed FS 2022 (Dec 31, 2021 comparative)
Extracted: 2026-05-19</t>
      </text>
    </comment>
    <comment ref="D15" authorId="0" shapeId="0">
      <text>
        <t>Land and building gross
Source: Reviewed FS 2022 (Dec 31, 2022)
Extracted: 2026-05-19</t>
      </text>
    </comment>
    <comment ref="E15" authorId="0" shapeId="0">
      <text>
        <t>Land and building gross
Source: Reviewed FS 2023 (Dec 31, 2023)
Extracted: 2026-05-19</t>
      </text>
    </comment>
    <comment ref="F15" authorId="0" shapeId="0">
      <text>
        <t>Land and building gross
Source: Reviewed FS 2024 (Dec 31, 2024)
Extracted: 2026-05-19</t>
      </text>
    </comment>
    <comment ref="G15" authorId="0" shapeId="0">
      <text>
        <t>Land and building gross
Source: Financial Package Excel Dec 31, 2025 (Internal)
Extracted: 2026-05-19</t>
      </text>
    </comment>
    <comment ref="H15" authorId="0" shapeId="0">
      <text>
        <t>Projection: Held flat from prior year</t>
      </text>
    </comment>
    <comment ref="I15" authorId="0" shapeId="0">
      <text>
        <t>Projection: Held flat from prior year</t>
      </text>
    </comment>
    <comment ref="C16" authorId="0" shapeId="0">
      <text>
        <t>Building improvements gross
Source: Reviewed FS 2022 (Dec 31, 2021 comparative)
Extracted: 2026-05-19</t>
      </text>
    </comment>
    <comment ref="D16" authorId="0" shapeId="0">
      <text>
        <t>Building improvements gross
Source: Reviewed FS 2022 (Dec 31, 2022)
Extracted: 2026-05-19</t>
      </text>
    </comment>
    <comment ref="E16" authorId="0" shapeId="0">
      <text>
        <t>Building improvements gross
Source: Reviewed FS 2023 (Dec 31, 2023)
Extracted: 2026-05-19</t>
      </text>
    </comment>
    <comment ref="F16" authorId="0" shapeId="0">
      <text>
        <t>Building improvements gross
Source: Reviewed FS 2024 (Dec 31, 2024)
Extracted: 2026-05-19</t>
      </text>
    </comment>
    <comment ref="G16" authorId="0" shapeId="0">
      <text>
        <t>Building improvements gross
Source: Financial Package Excel Dec 31, 2025 (Internal)
Extracted: 2026-05-19</t>
      </text>
    </comment>
    <comment ref="H16" authorId="0" shapeId="0">
      <text>
        <t>Projection: Held flat from prior year</t>
      </text>
    </comment>
    <comment ref="I16" authorId="0" shapeId="0">
      <text>
        <t>Projection: Held flat from prior year</t>
      </text>
    </comment>
    <comment ref="C17" authorId="0" shapeId="0">
      <text>
        <t>Furniture and fixtures
Source: Reviewed FS 2022 (Dec 31, 2021 comparative)
Extracted: 2026-05-19</t>
      </text>
    </comment>
    <comment ref="D17" authorId="0" shapeId="0">
      <text>
        <t>Furniture and fixtures
Source: Reviewed FS 2022 (Dec 31, 2022)
Extracted: 2026-05-19</t>
      </text>
    </comment>
    <comment ref="E17" authorId="0" shapeId="0">
      <text>
        <t>Furniture and fixtures
Source: Reviewed FS 2023 (Dec 31, 2023)
Extracted: 2026-05-19</t>
      </text>
    </comment>
    <comment ref="F17" authorId="0" shapeId="0">
      <text>
        <t>Furniture and fixtures
Source: Reviewed FS 2024 (Dec 31, 2024)
Extracted: 2026-05-19</t>
      </text>
    </comment>
    <comment ref="G17" authorId="0" shapeId="0">
      <text>
        <t>Furniture and fixtures
Source: Financial Package Excel Dec 31, 2025 (Internal)
Extracted: 2026-05-19</t>
      </text>
    </comment>
    <comment ref="H17" authorId="0" shapeId="0">
      <text>
        <t>Projection: Held flat from prior year</t>
      </text>
    </comment>
    <comment ref="I17" authorId="0" shapeId="0">
      <text>
        <t>Projection: Held flat from prior year</t>
      </text>
    </comment>
    <comment ref="C18" authorId="0" shapeId="0">
      <text>
        <t>IT equipment
Source: Reviewed FS 2022 (Dec 31, 2021 comparative)
Extracted: 2026-05-19</t>
      </text>
    </comment>
    <comment ref="D18" authorId="0" shapeId="0">
      <text>
        <t>IT equipment
Source: Reviewed FS 2022 (Dec 31, 2022)
Extracted: 2026-05-19</t>
      </text>
    </comment>
    <comment ref="E18" authorId="0" shapeId="0">
      <text>
        <t>IT equipment
Source: Reviewed FS 2023 (Dec 31, 2023)
Extracted: 2026-05-19</t>
      </text>
    </comment>
    <comment ref="F18" authorId="0" shapeId="0">
      <text>
        <t>IT equipment
Source: Reviewed FS 2024 (Dec 31, 2024)
Extracted: 2026-05-19</t>
      </text>
    </comment>
    <comment ref="G18" authorId="0" shapeId="0">
      <text>
        <t>IT equipment
Source: Financial Package Excel Dec 31, 2025 (Internal)
Extracted: 2026-05-19</t>
      </text>
    </comment>
    <comment ref="H18" authorId="0" shapeId="0">
      <text>
        <t>Projection: Held flat from prior year</t>
      </text>
    </comment>
    <comment ref="I18" authorId="0" shapeId="0">
      <text>
        <t>Projection: Held flat from prior year</t>
      </text>
    </comment>
    <comment ref="C19" authorId="0" shapeId="0">
      <text>
        <t>Other vehicles
Source: Reviewed FS 2022 (Dec 31, 2021 comparative)
Extracted: 2026-05-19</t>
      </text>
    </comment>
    <comment ref="D19" authorId="0" shapeId="0">
      <text>
        <t>Other vehicles
Source: Reviewed FS 2022 (Dec 31, 2022)
Extracted: 2026-05-19</t>
      </text>
    </comment>
    <comment ref="E19" authorId="0" shapeId="0">
      <text>
        <t>Other vehicles
Source: Reviewed FS 2023 (Dec 31, 2023)
Extracted: 2026-05-19</t>
      </text>
    </comment>
    <comment ref="F19" authorId="0" shapeId="0">
      <text>
        <t>Other vehicles
Source: Reviewed FS 2024 (Dec 31, 2024)
Extracted: 2026-05-19</t>
      </text>
    </comment>
    <comment ref="G19" authorId="0" shapeId="0">
      <text>
        <t>Other vehicles
Source: Financial Package Excel Dec 31, 2025 (Internal)
Extracted: 2026-05-19</t>
      </text>
    </comment>
    <comment ref="H19" authorId="0" shapeId="0">
      <text>
        <t>Projection: Held flat from prior year</t>
      </text>
    </comment>
    <comment ref="I19" authorId="0" shapeId="0">
      <text>
        <t>Projection: Held flat from prior year</t>
      </text>
    </comment>
    <comment ref="C20" authorId="0" shapeId="0">
      <text>
        <t>Other equipment (2025 consolidation)
Source: Reviewed FS 2022 (Dec 31, 2021 comparative)
Extracted: 2026-05-19</t>
      </text>
    </comment>
    <comment ref="D20" authorId="0" shapeId="0">
      <text>
        <t>Other equipment (2025 consolidation)
Source: Reviewed FS 2022 (Dec 31, 2022)
Extracted: 2026-05-19</t>
      </text>
    </comment>
    <comment ref="E20" authorId="0" shapeId="0">
      <text>
        <t>Other equipment (2025 consolidation)
Source: Reviewed FS 2023 (Dec 31, 2023)
Extracted: 2026-05-19</t>
      </text>
    </comment>
    <comment ref="F20" authorId="0" shapeId="0">
      <text>
        <t>Other equipment (2025 consolidation)
Source: Reviewed FS 2024 (Dec 31, 2024)
Extracted: 2026-05-19</t>
      </text>
    </comment>
    <comment ref="G20" authorId="0" shapeId="0">
      <text>
        <t>Other equipment (2025 consolidation)
Source: Financial Package Excel Dec 31, 2025 (Internal)
Extracted: 2026-05-19</t>
      </text>
    </comment>
    <comment ref="H20" authorId="0" shapeId="0">
      <text>
        <t>Projection: Held flat from prior year</t>
      </text>
    </comment>
    <comment ref="I20" authorId="0" shapeId="0">
      <text>
        <t>Projection: Held flat from prior year</t>
      </text>
    </comment>
    <comment ref="C21" authorId="0" shapeId="0">
      <text>
        <t>CIP
Source: Reviewed FS 2022 (Dec 31, 2021 comparative)
Extracted: 2026-05-19</t>
      </text>
    </comment>
    <comment ref="D21" authorId="0" shapeId="0">
      <text>
        <t>CIP
Source: Reviewed FS 2022 (Dec 31, 2022)
Extracted: 2026-05-19</t>
      </text>
    </comment>
    <comment ref="E21" authorId="0" shapeId="0">
      <text>
        <t>CIP
Source: Reviewed FS 2023 (Dec 31, 2023)
Extracted: 2026-05-19</t>
      </text>
    </comment>
    <comment ref="F21" authorId="0" shapeId="0">
      <text>
        <t>CIP
Source: Reviewed FS 2024 (Dec 31, 2024)
Extracted: 2026-05-19</t>
      </text>
    </comment>
    <comment ref="G21" authorId="0" shapeId="0">
      <text>
        <t>CIP
Source: Financial Package Excel Dec 31, 2025 (Internal)
Extracted: 2026-05-19</t>
      </text>
    </comment>
    <comment ref="H21" authorId="0" shapeId="0">
      <text>
        <t>Projection: Held flat from prior year</t>
      </text>
    </comment>
    <comment ref="I21" authorId="0" shapeId="0">
      <text>
        <t>Projection: Held flat from prior year</t>
      </text>
    </comment>
    <comment ref="C22" authorId="0" shapeId="0">
      <text>
        <t>Sum of rows 14-21</t>
      </text>
    </comment>
    <comment ref="D22" authorId="0" shapeId="0">
      <text>
        <t>Sum of rows 14-21</t>
      </text>
    </comment>
    <comment ref="E22" authorId="0" shapeId="0">
      <text>
        <t>Sum of rows 14-21</t>
      </text>
    </comment>
    <comment ref="F22" authorId="0" shapeId="0">
      <text>
        <t>Sum of rows 14-21</t>
      </text>
    </comment>
    <comment ref="G22" authorId="0" shapeId="0">
      <text>
        <t>Sum of rows 14-21</t>
      </text>
    </comment>
    <comment ref="H22" authorId="0" shapeId="0">
      <text>
        <t>Sum of rows 14-21: Gross PP&amp;E</t>
      </text>
    </comment>
    <comment ref="I22" authorId="0" shapeId="0">
      <text>
        <t>Sum of rows 14-21: Gross PP&amp;E</t>
      </text>
    </comment>
    <comment ref="C23" authorId="0" shapeId="0">
      <text>
        <t>Accumulated depreciation (contra asset)
Source: Reviewed FS 2022 (Dec 31, 2021 comparative)
Extracted: 2026-05-19</t>
      </text>
    </comment>
    <comment ref="D23" authorId="0" shapeId="0">
      <text>
        <t>Accumulated depreciation (contra asset)
Source: Reviewed FS 2022 (Dec 31, 2022)
Extracted: 2026-05-19</t>
      </text>
    </comment>
    <comment ref="E23" authorId="0" shapeId="0">
      <text>
        <t>Accumulated depreciation (contra asset)
Source: Reviewed FS 2023 (Dec 31, 2023)
Extracted: 2026-05-19</t>
      </text>
    </comment>
    <comment ref="F23" authorId="0" shapeId="0">
      <text>
        <t>Accumulated depreciation (contra asset)
Source: Reviewed FS 2024 (Dec 31, 2024)
Extracted: 2026-05-19</t>
      </text>
    </comment>
    <comment ref="G23" authorId="0" shapeId="0">
      <text>
        <t>Accumulated depreciation (contra asset)
Source: Financial Package Excel Dec 31, 2025 (Internal)
Extracted: 2026-05-19</t>
      </text>
    </comment>
    <comment ref="H23" authorId="0" shapeId="0">
      <text>
        <t>Projection: Prior Accum Depr - (Gross PP&amp;E * D&amp;A%)
D&amp;A%: Downside=10%, Base=9%, Upside=8%</t>
      </text>
    </comment>
    <comment ref="I23" authorId="0" shapeId="0">
      <text>
        <t>Projection: Prior Accum Depr - (Gross PP&amp;E * D&amp;A%)</t>
      </text>
    </comment>
    <comment ref="C24" authorId="0" shapeId="0">
      <text>
        <t>Gross PP&amp;E + Accum Depr</t>
      </text>
    </comment>
    <comment ref="D24" authorId="0" shapeId="0">
      <text>
        <t>Gross PP&amp;E + Accum Depr</t>
      </text>
    </comment>
    <comment ref="E24" authorId="0" shapeId="0">
      <text>
        <t>Gross PP&amp;E + Accum Depr</t>
      </text>
    </comment>
    <comment ref="F24" authorId="0" shapeId="0">
      <text>
        <t>Gross PP&amp;E + Accum Depr</t>
      </text>
    </comment>
    <comment ref="G24" authorId="0" shapeId="0">
      <text>
        <t>Gross PP&amp;E + Accum Depr</t>
      </text>
    </comment>
    <comment ref="H24" authorId="0" shapeId="0">
      <text>
        <t>Net PP&amp;E = Gross PP&amp;E + Accum Depr (negative)</t>
      </text>
    </comment>
    <comment ref="I24" authorId="0" shapeId="0">
      <text>
        <t>Net PP&amp;E = Gross PP&amp;E + Accum Depr (negative)</t>
      </text>
    </comment>
    <comment ref="C27" authorId="0" shapeId="0">
      <text>
        <t>Operating lease ROU per ASC 842
Source: Reviewed FS 2022 (Dec 31, 2021 comparative)
Extracted: 2026-05-19</t>
      </text>
    </comment>
    <comment ref="D27" authorId="0" shapeId="0">
      <text>
        <t>Operating lease ROU per ASC 842
Source: Reviewed FS 2022 (Dec 31, 2022)
Extracted: 2026-05-19</t>
      </text>
    </comment>
    <comment ref="E27" authorId="0" shapeId="0">
      <text>
        <t>Operating lease ROU per ASC 842
Source: Reviewed FS 2023 (Dec 31, 2023)
Extracted: 2026-05-19</t>
      </text>
    </comment>
    <comment ref="F27" authorId="0" shapeId="0">
      <text>
        <t>Operating lease ROU per ASC 842
Source: Reviewed FS 2024 (Dec 31, 2024)
Extracted: 2026-05-19</t>
      </text>
    </comment>
    <comment ref="G27" authorId="0" shapeId="0">
      <text>
        <t>Operating lease ROU per ASC 842
Source: Financial Package Excel Dec 31, 2025 (Internal)
Extracted: 2026-05-19</t>
      </text>
    </comment>
    <comment ref="H27" authorId="0" shapeId="0">
      <text>
        <t>Projection: Declines ~20% per year as leases amortize</t>
      </text>
    </comment>
    <comment ref="I27" authorId="0" shapeId="0">
      <text>
        <t>Projection: Declines ~20% per year as leases amortize</t>
      </text>
    </comment>
    <comment ref="C28" authorId="0" shapeId="0">
      <text>
        <t>Finance lease ROU (2024)
Source: Reviewed FS 2022 (Dec 31, 2021 comparative)
Extracted: 2026-05-19</t>
      </text>
    </comment>
    <comment ref="D28" authorId="0" shapeId="0">
      <text>
        <t>Finance lease ROU (2024)
Source: Reviewed FS 2022 (Dec 31, 2022)
Extracted: 2026-05-19</t>
      </text>
    </comment>
    <comment ref="E28" authorId="0" shapeId="0">
      <text>
        <t>Finance lease ROU (2024)
Source: Reviewed FS 2023 (Dec 31, 2023)
Extracted: 2026-05-19</t>
      </text>
    </comment>
    <comment ref="F28" authorId="0" shapeId="0">
      <text>
        <t>Source: balance_sheet.md
Finance Lease ROU Assets set to 0 for 2024A - value already included in PP&amp;E Net per source FS note "(within PP&amp;E in balance sheet)"</t>
      </text>
    </comment>
    <comment ref="G28" authorId="0" shapeId="0">
      <text>
        <t>Finance lease ROU (2024)
Source: Financial Package Excel Dec 31, 2025 (Internal)
Extracted: 2026-05-19</t>
      </text>
    </comment>
    <comment ref="H28" authorId="0" shapeId="0">
      <text>
        <t>Projection: Held flat from prior year</t>
      </text>
    </comment>
    <comment ref="I28" authorId="0" shapeId="0">
      <text>
        <t>Projection: Held flat from prior year</t>
      </text>
    </comment>
    <comment ref="C29" authorId="0" shapeId="0">
      <text>
        <t>Sum of rows 27-28</t>
      </text>
    </comment>
    <comment ref="D29" authorId="0" shapeId="0">
      <text>
        <t>Sum of rows 27-28</t>
      </text>
    </comment>
    <comment ref="E29" authorId="0" shapeId="0">
      <text>
        <t>Sum of rows 27-28</t>
      </text>
    </comment>
    <comment ref="F29" authorId="0" shapeId="0">
      <text>
        <t>Sum of rows 27-28</t>
      </text>
    </comment>
    <comment ref="G29" authorId="0" shapeId="0">
      <text>
        <t>Sum of rows 27-28</t>
      </text>
    </comment>
    <comment ref="H29" authorId="0" shapeId="0">
      <text>
        <t>Sum of rows 27-28: ROU Assets</t>
      </text>
    </comment>
    <comment ref="I29" authorId="0" shapeId="0">
      <text>
        <t>Sum of rows 27-28: ROU Assets</t>
      </text>
    </comment>
    <comment ref="C32" authorId="0" shapeId="0">
      <text>
        <t>LT portion N/R
Source: Reviewed FS 2022 (Dec 31, 2021 comparative)
Extracted: 2026-05-19</t>
      </text>
    </comment>
    <comment ref="D32" authorId="0" shapeId="0">
      <text>
        <t>LT portion N/R
Source: Reviewed FS 2022 (Dec 31, 2022)
Extracted: 2026-05-19</t>
      </text>
    </comment>
    <comment ref="E32" authorId="0" shapeId="0">
      <text>
        <t>LT portion N/R
Source: Reviewed FS 2023 (Dec 31, 2023)
Extracted: 2026-05-19</t>
      </text>
    </comment>
    <comment ref="F32" authorId="0" shapeId="0">
      <text>
        <t>LT portion N/R
Source: Reviewed FS 2024 (Dec 31, 2024)
Extracted: 2026-05-19</t>
      </text>
    </comment>
    <comment ref="G32" authorId="0" shapeId="0">
      <text>
        <t>LT portion N/R
Source: Financial Package Excel Dec 31, 2025 (Internal)
Extracted: 2026-05-19</t>
      </text>
    </comment>
    <comment ref="H32" authorId="0" shapeId="0">
      <text>
        <t>Projection: Held flat from prior year</t>
      </text>
    </comment>
    <comment ref="I32" authorId="0" shapeId="0">
      <text>
        <t>Projection: Held flat from prior year</t>
      </text>
    </comment>
    <comment ref="C33" authorId="0" shapeId="0">
      <text>
        <t>Related party N/R
Source: Reviewed FS 2022 (Dec 31, 2021 comparative)
Extracted: 2026-05-19</t>
      </text>
    </comment>
    <comment ref="D33" authorId="0" shapeId="0">
      <text>
        <t>Related party N/R
Source: Reviewed FS 2022 (Dec 31, 2022)
Extracted: 2026-05-19</t>
      </text>
    </comment>
    <comment ref="E33" authorId="0" shapeId="0">
      <text>
        <t>Related party N/R
Source: Reviewed FS 2023 (Dec 31, 2023)
Extracted: 2026-05-19</t>
      </text>
    </comment>
    <comment ref="F33" authorId="0" shapeId="0">
      <text>
        <t>Related party N/R
Source: Reviewed FS 2024 (Dec 31, 2024)
Extracted: 2026-05-19</t>
      </text>
    </comment>
    <comment ref="G33" authorId="0" shapeId="0">
      <text>
        <t>Related party N/R
Source: Financial Package Excel Dec 31, 2025 (Internal)
Extracted: 2026-05-19</t>
      </text>
    </comment>
    <comment ref="H33" authorId="0" shapeId="0">
      <text>
        <t>Projection: Held flat from prior year</t>
      </text>
    </comment>
    <comment ref="I33" authorId="0" shapeId="0">
      <text>
        <t>Projection: Held flat from prior year</t>
      </text>
    </comment>
    <comment ref="C34" authorId="0" shapeId="0">
      <text>
        <t>Other LT assets
Source: Reviewed FS 2022 (Dec 31, 2021 comparative)
Extracted: 2026-05-19</t>
      </text>
    </comment>
    <comment ref="D34" authorId="0" shapeId="0">
      <text>
        <t>Other LT assets
Source: Reviewed FS 2022 (Dec 31, 2022)
Extracted: 2026-05-19</t>
      </text>
    </comment>
    <comment ref="E34" authorId="0" shapeId="0">
      <text>
        <t>Other LT assets
Source: Reviewed FS 2023 (Dec 31, 2023)
Extracted: 2026-05-19</t>
      </text>
    </comment>
    <comment ref="F34" authorId="0" shapeId="0">
      <text>
        <t>Other LT assets
Source: Reviewed FS 2024 (Dec 31, 2024)
Extracted: 2026-05-19</t>
      </text>
    </comment>
    <comment ref="G34" authorId="0" shapeId="0">
      <text>
        <t>Other LT assets
Source: Financial Package Excel Dec 31, 2025 (Internal)
Extracted: 2026-05-19</t>
      </text>
    </comment>
    <comment ref="H34" authorId="0" shapeId="0">
      <text>
        <t>Projection: Held flat from prior year</t>
      </text>
    </comment>
    <comment ref="I34" authorId="0" shapeId="0">
      <text>
        <t>Projection: Held flat from prior year</t>
      </text>
    </comment>
    <comment ref="C35" authorId="0" shapeId="0">
      <text>
        <t>LT investments
Source: Reviewed FS 2022 (Dec 31, 2021 comparative)
Extracted: 2026-05-19</t>
      </text>
    </comment>
    <comment ref="D35" authorId="0" shapeId="0">
      <text>
        <t>LT investments
Source: Reviewed FS 2022 (Dec 31, 2022)
Extracted: 2026-05-19</t>
      </text>
    </comment>
    <comment ref="E35" authorId="0" shapeId="0">
      <text>
        <t>LT investments
Source: Reviewed FS 2023 (Dec 31, 2023)
Extracted: 2026-05-19</t>
      </text>
    </comment>
    <comment ref="F35" authorId="0" shapeId="0">
      <text>
        <t>LT investments
Source: Reviewed FS 2024 (Dec 31, 2024)
Extracted: 2026-05-19</t>
      </text>
    </comment>
    <comment ref="G35" authorId="0" shapeId="0">
      <text>
        <t>LT investments
Source: Financial Package Excel Dec 31, 2025 (Internal)
Extracted: 2026-05-19</t>
      </text>
    </comment>
    <comment ref="H35" authorId="0" shapeId="0">
      <text>
        <t>Projection: Held flat from prior year</t>
      </text>
    </comment>
    <comment ref="I35" authorId="0" shapeId="0">
      <text>
        <t>Projection: Held flat from prior year</t>
      </text>
    </comment>
    <comment ref="C36" authorId="0" shapeId="0">
      <text>
        <t>Derivative instruments (interest rate swaps)
Source: Reviewed FS 2022 (Dec 31, 2021 comparative)
Extracted: 2026-05-19</t>
      </text>
    </comment>
    <comment ref="D36" authorId="0" shapeId="0">
      <text>
        <t>Derivative instruments (interest rate swaps)
Source: Reviewed FS 2022 (Dec 31, 2022)
Extracted: 2026-05-19</t>
      </text>
    </comment>
    <comment ref="E36" authorId="0" shapeId="0">
      <text>
        <t>Derivative instruments (interest rate swaps)
Source: Reviewed FS 2023 (Dec 31, 2023)
Extracted: 2026-05-19</t>
      </text>
    </comment>
    <comment ref="F36" authorId="0" shapeId="0">
      <text>
        <t>Derivative instruments (interest rate swaps)
Source: Reviewed FS 2024 (Dec 31, 2024)
Extracted: 2026-05-19</t>
      </text>
    </comment>
    <comment ref="G36" authorId="0" shapeId="0">
      <text>
        <t>Derivative instruments (interest rate swaps)
Source: Financial Package Excel Dec 31, 2025 (Internal)
Extracted: 2026-05-19</t>
      </text>
    </comment>
    <comment ref="H36" authorId="0" shapeId="0">
      <text>
        <t>Projection: Held flat from prior year</t>
      </text>
    </comment>
    <comment ref="I36" authorId="0" shapeId="0">
      <text>
        <t>Projection: Held flat from prior year</t>
      </text>
    </comment>
    <comment ref="C37" authorId="0" shapeId="0">
      <text>
        <t>Sum of rows 32-36</t>
      </text>
    </comment>
    <comment ref="D37" authorId="0" shapeId="0">
      <text>
        <t>Sum of rows 32-36</t>
      </text>
    </comment>
    <comment ref="E37" authorId="0" shapeId="0">
      <text>
        <t>Sum of rows 32-36</t>
      </text>
    </comment>
    <comment ref="F37" authorId="0" shapeId="0">
      <text>
        <t>Sum of rows 32-36</t>
      </text>
    </comment>
    <comment ref="G37" authorId="0" shapeId="0">
      <text>
        <t>Sum of rows 32-36</t>
      </text>
    </comment>
    <comment ref="H37" authorId="0" shapeId="0">
      <text>
        <t>Sum of rows 32-36: Other LT Assets</t>
      </text>
    </comment>
    <comment ref="I37" authorId="0" shapeId="0">
      <text>
        <t>Sum of rows 32-36: Other LT Assets</t>
      </text>
    </comment>
    <comment ref="C39" authorId="0" shapeId="0">
      <text>
        <t>Sum of Total CA + Net PP&amp;E + ROU + Other LT</t>
      </text>
    </comment>
    <comment ref="D39" authorId="0" shapeId="0">
      <text>
        <t>Sum of Total CA + Net PP&amp;E + ROU + Other LT</t>
      </text>
    </comment>
    <comment ref="E39" authorId="0" shapeId="0">
      <text>
        <t>Sum of Total CA + Net PP&amp;E + ROU + Other LT</t>
      </text>
    </comment>
    <comment ref="F39" authorId="0" shapeId="0">
      <text>
        <t>Sum of Total CA + Net PP&amp;E + ROU + Other LT</t>
      </text>
    </comment>
    <comment ref="G39" authorId="0" shapeId="0">
      <text>
        <t>Sum of Total CA + Net PP&amp;E + ROU + Other LT</t>
      </text>
    </comment>
    <comment ref="H39" authorId="0" shapeId="0">
      <text>
        <t>Total Assets = Current + Net PP&amp;E + ROU + Other LT</t>
      </text>
    </comment>
    <comment ref="I39" authorId="0" shapeId="0">
      <text>
        <t>Total Assets = Current + Net PP&amp;E + ROU + Other LT</t>
      </text>
    </comment>
    <comment ref="C43" authorId="0" shapeId="0">
      <text>
        <t>Trade A/P
Source: Reviewed FS 2022 (Dec 31, 2021 comparative)
Extracted: 2026-05-19</t>
      </text>
    </comment>
    <comment ref="D43" authorId="0" shapeId="0">
      <text>
        <t>Trade A/P
Source: Reviewed FS 2022 (Dec 31, 2022)
Extracted: 2026-05-19</t>
      </text>
    </comment>
    <comment ref="E43" authorId="0" shapeId="0">
      <text>
        <t>Trade A/P
Source: Reviewed FS 2023 (Dec 31, 2023)
Extracted: 2026-05-19</t>
      </text>
    </comment>
    <comment ref="F43" authorId="0" shapeId="0">
      <text>
        <t>Trade A/P
Source: Reviewed FS 2024 (Dec 31, 2024)
Extracted: 2026-05-19</t>
      </text>
    </comment>
    <comment ref="G43" authorId="0" shapeId="0">
      <text>
        <t>Trade A/P
Source: Financial Package Excel Dec 31, 2025 (Internal)
Extracted: 2026-05-19</t>
      </text>
    </comment>
    <comment ref="H43" authorId="0" shapeId="0">
      <text>
        <t>Projection: A/P = Projected COGS * DPO / 365
DPO: Downside=20, Base=28, Upside=35</t>
      </text>
    </comment>
    <comment ref="I43" authorId="0" shapeId="0">
      <text>
        <t>Projection: A/P = Projected COGS * DPO / 365
DPO: Downside=20, Base=28, Upside=35</t>
      </text>
    </comment>
    <comment ref="C44" authorId="0" shapeId="0">
      <text>
        <t>Accrued liabilities
Source: Reviewed FS 2022 (Dec 31, 2021 comparative)
Extracted: 2026-05-19</t>
      </text>
    </comment>
    <comment ref="D44" authorId="0" shapeId="0">
      <text>
        <t>Accrued liabilities
Source: Reviewed FS 2022 (Dec 31, 2022)
Extracted: 2026-05-19</t>
      </text>
    </comment>
    <comment ref="E44" authorId="0" shapeId="0">
      <text>
        <t>Accrued liabilities
Source: Reviewed FS 2023 (Dec 31, 2023)
Extracted: 2026-05-19</t>
      </text>
    </comment>
    <comment ref="F44" authorId="0" shapeId="0">
      <text>
        <t>Accrued liabilities
Source: Reviewed FS 2024 (Dec 31, 2024)
Extracted: 2026-05-19</t>
      </text>
    </comment>
    <comment ref="G44" authorId="0" shapeId="0">
      <text>
        <t>Accrued liabilities
Source: Financial Package Excel Dec 31, 2025 (Internal)
Extracted: 2026-05-19</t>
      </text>
    </comment>
    <comment ref="H44" authorId="0" shapeId="0">
      <text>
        <t>Projection: Grows with revenue growth rate</t>
      </text>
    </comment>
    <comment ref="I44" authorId="0" shapeId="0">
      <text>
        <t>Projection: Grows with revenue growth rate</t>
      </text>
    </comment>
    <comment ref="C45" authorId="0" shapeId="0">
      <text>
        <t>Revolving credit facility
Source: Reviewed FS 2022 (Dec 31, 2021 comparative)
Extracted: 2026-05-19</t>
      </text>
    </comment>
    <comment ref="D45" authorId="0" shapeId="0">
      <text>
        <t>Revolving credit facility
Source: Reviewed FS 2022 (Dec 31, 2022)
Extracted: 2026-05-19</t>
      </text>
    </comment>
    <comment ref="E45" authorId="0" shapeId="0">
      <text>
        <t>Revolving credit facility
Source: Reviewed FS 2023 (Dec 31, 2023)
Extracted: 2026-05-19</t>
      </text>
    </comment>
    <comment ref="F45" authorId="0" shapeId="0">
      <text>
        <t>Revolving credit facility
Source: Reviewed FS 2024 (Dec 31, 2024)
Extracted: 2026-05-19</t>
      </text>
    </comment>
    <comment ref="G45" authorId="0" shapeId="0">
      <text>
        <t>Revolving credit facility
Source: Financial Package Excel Dec 31, 2025 (Internal)
Extracted: 2026-05-19</t>
      </text>
    </comment>
    <comment ref="H45" authorId="0" shapeId="0">
      <text>
        <t>Projection: LOC assumed paid down</t>
      </text>
    </comment>
    <comment ref="I45" authorId="0" shapeId="0">
      <text>
        <t>Projection: LOC assumed paid down</t>
      </text>
    </comment>
    <comment ref="C46" authorId="0" shapeId="0">
      <text>
        <t>Current op lease liability per ASC 842
Source: Reviewed FS 2022 (Dec 31, 2021 comparative)
Extracted: 2026-05-19</t>
      </text>
    </comment>
    <comment ref="D46" authorId="0" shapeId="0">
      <text>
        <t>Current op lease liability per ASC 842
Source: Reviewed FS 2022 (Dec 31, 2022)
Extracted: 2026-05-19</t>
      </text>
    </comment>
    <comment ref="E46" authorId="0" shapeId="0">
      <text>
        <t>Current op lease liability per ASC 842
Source: Reviewed FS 2023 (Dec 31, 2023)
Extracted: 2026-05-19</t>
      </text>
    </comment>
    <comment ref="F46" authorId="0" shapeId="0">
      <text>
        <t>Current op lease liability per ASC 842
Source: Reviewed FS 2024 (Dec 31, 2024)
Extracted: 2026-05-19</t>
      </text>
    </comment>
    <comment ref="G46" authorId="0" shapeId="0">
      <text>
        <t>Current op lease liability per ASC 842
Source: Financial Package Excel Dec 31, 2025 (Internal)
Extracted: 2026-05-19</t>
      </text>
    </comment>
    <comment ref="H46" authorId="0" shapeId="0">
      <text>
        <t>Projection: Declines with Operating Lease ROU</t>
      </text>
    </comment>
    <comment ref="I46" authorId="0" shapeId="0">
      <text>
        <t>Projection: Declines with Operating Lease ROU</t>
      </text>
    </comment>
    <comment ref="C47" authorId="0" shapeId="0">
      <text>
        <t>Current maturities LTD
Source: Reviewed FS 2022 (Dec 31, 2021 comparative)
Extracted: 2026-05-19</t>
      </text>
    </comment>
    <comment ref="D47" authorId="0" shapeId="0">
      <text>
        <t>Current maturities LTD
Source: Reviewed FS 2022 (Dec 31, 2022)
Extracted: 2026-05-19</t>
      </text>
    </comment>
    <comment ref="E47" authorId="0" shapeId="0">
      <text>
        <t>Current maturities LTD
Source: Reviewed FS 2023 (Dec 31, 2023)
Extracted: 2026-05-19</t>
      </text>
    </comment>
    <comment ref="F47" authorId="0" shapeId="0">
      <text>
        <t>Current maturities LTD
Source: Reviewed FS 2024 (Dec 31, 2024)
Extracted: 2026-05-19</t>
      </text>
    </comment>
    <comment ref="G47" authorId="0" shapeId="0">
      <text>
        <t>Current maturities LTD
Source: Financial Package Excel Dec 31, 2025 (Internal)
Extracted: 2026-05-19</t>
      </text>
    </comment>
    <comment ref="H47" authorId="0" shapeId="0">
      <text>
        <t>Links to: Debt Schedule row 36 - Current Portion LT Debt</t>
      </text>
    </comment>
    <comment ref="I47" authorId="0" shapeId="0">
      <text>
        <t>Links to: Debt Schedule row 36 - Current Portion LT Debt</t>
      </text>
    </comment>
    <comment ref="C48" authorId="0" shapeId="0">
      <text>
        <t>Current finance lease obligation
Source: Reviewed FS 2022 (Dec 31, 2021 comparative)
Extracted: 2026-05-19</t>
      </text>
    </comment>
    <comment ref="D48" authorId="0" shapeId="0">
      <text>
        <t>Current finance lease obligation
Source: Reviewed FS 2022 (Dec 31, 2022)
Extracted: 2026-05-19</t>
      </text>
    </comment>
    <comment ref="E48" authorId="0" shapeId="0">
      <text>
        <t>Current finance lease obligation
Source: Reviewed FS 2023 (Dec 31, 2023)
Extracted: 2026-05-19</t>
      </text>
    </comment>
    <comment ref="F48" authorId="0" shapeId="0">
      <text>
        <t>Current finance lease obligation
Source: Reviewed FS 2024 (Dec 31, 2024)
Extracted: 2026-05-19</t>
      </text>
    </comment>
    <comment ref="G48" authorId="0" shapeId="0">
      <text>
        <t>Current finance lease obligation
Source: Financial Package Excel Dec 31, 2025 (Internal)
Extracted: 2026-05-19</t>
      </text>
    </comment>
    <comment ref="H48" authorId="0" shapeId="0">
      <text>
        <t>Projection: Finance lease declining</t>
      </text>
    </comment>
    <comment ref="I48" authorId="0" shapeId="0">
      <text>
        <t>Projection: Finance lease declining</t>
      </text>
    </comment>
    <comment ref="C49" authorId="0" shapeId="0">
      <text>
        <t>Sum of rows 43-48</t>
      </text>
    </comment>
    <comment ref="D49" authorId="0" shapeId="0">
      <text>
        <t>Sum of rows 43-48</t>
      </text>
    </comment>
    <comment ref="E49" authorId="0" shapeId="0">
      <text>
        <t>Sum of rows 43-48</t>
      </text>
    </comment>
    <comment ref="F49" authorId="0" shapeId="0">
      <text>
        <t>Sum of rows 43-48</t>
      </text>
    </comment>
    <comment ref="G49" authorId="0" shapeId="0">
      <text>
        <t>Sum of rows 43-48</t>
      </text>
    </comment>
    <comment ref="H49" authorId="0" shapeId="0">
      <text>
        <t>Sum of rows 43-48: Current Liabilities</t>
      </text>
    </comment>
    <comment ref="I49" authorId="0" shapeId="0">
      <text>
        <t>Sum of rows 43-48: Current Liabilities</t>
      </text>
    </comment>
    <comment ref="C52" authorId="0" shapeId="0">
      <text>
        <t>LT operating lease liability per ASC 842
Source: Reviewed FS 2022 (Dec 31, 2021 comparative)
Extracted: 2026-05-19</t>
      </text>
    </comment>
    <comment ref="D52" authorId="0" shapeId="0">
      <text>
        <t>LT operating lease liability per ASC 842
Source: Reviewed FS 2022 (Dec 31, 2022)
Extracted: 2026-05-19</t>
      </text>
    </comment>
    <comment ref="E52" authorId="0" shapeId="0">
      <text>
        <t>LT operating lease liability per ASC 842
Source: Reviewed FS 2023 (Dec 31, 2023)
Extracted: 2026-05-19</t>
      </text>
    </comment>
    <comment ref="F52" authorId="0" shapeId="0">
      <text>
        <t>LT operating lease liability per ASC 842
Source: Reviewed FS 2024 (Dec 31, 2024)
Extracted: 2026-05-19</t>
      </text>
    </comment>
    <comment ref="G52" authorId="0" shapeId="0">
      <text>
        <t>LT operating lease liability per ASC 842
Source: Financial Package Excel Dec 31, 2025 (Internal)
Extracted: 2026-05-19</t>
      </text>
    </comment>
    <comment ref="H52" authorId="0" shapeId="0">
      <text>
        <t>Projection: Declines as leases amortize</t>
      </text>
    </comment>
    <comment ref="I52" authorId="0" shapeId="0">
      <text>
        <t>Projection: Declines as leases amortize</t>
      </text>
    </comment>
    <comment ref="C53" authorId="0" shapeId="0">
      <text>
        <t>LT debt net of current portion
Source: Reviewed FS 2022 (Dec 31, 2021 comparative)
Extracted: 2026-05-19</t>
      </text>
    </comment>
    <comment ref="D53" authorId="0" shapeId="0">
      <text>
        <t>LT debt net of current portion
Source: Reviewed FS 2022 (Dec 31, 2022)
Extracted: 2026-05-19</t>
      </text>
    </comment>
    <comment ref="E53" authorId="0" shapeId="0">
      <text>
        <t>LT debt net of current portion
Source: Reviewed FS 2023 (Dec 31, 2023)
Extracted: 2026-05-19</t>
      </text>
    </comment>
    <comment ref="F53" authorId="0" shapeId="0">
      <text>
        <t>LT debt net of current portion
Source: Reviewed FS 2024 (Dec 31, 2024)
Extracted: 2026-05-19</t>
      </text>
    </comment>
    <comment ref="G53" authorId="0" shapeId="0">
      <text>
        <t>LT debt net of current portion
Source: Financial Package Excel Dec 31, 2025 (Internal)
Extracted: 2026-05-19</t>
      </text>
    </comment>
    <comment ref="H53" authorId="0" shapeId="0">
      <text>
        <t>Links to: Debt Schedule row 37 - LT Debt net of current</t>
      </text>
    </comment>
    <comment ref="I53" authorId="0" shapeId="0">
      <text>
        <t>Links to: Debt Schedule row 37 - LT Debt net of current</t>
      </text>
    </comment>
    <comment ref="C54" authorId="0" shapeId="0">
      <text>
        <t>LT finance lease obligation
Source: Reviewed FS 2022 (Dec 31, 2021 comparative)
Extracted: 2026-05-19</t>
      </text>
    </comment>
    <comment ref="D54" authorId="0" shapeId="0">
      <text>
        <t>LT finance lease obligation
Source: Reviewed FS 2022 (Dec 31, 2022)
Extracted: 2026-05-19</t>
      </text>
    </comment>
    <comment ref="E54" authorId="0" shapeId="0">
      <text>
        <t>LT finance lease obligation
Source: Reviewed FS 2023 (Dec 31, 2023)
Extracted: 2026-05-19</t>
      </text>
    </comment>
    <comment ref="F54" authorId="0" shapeId="0">
      <text>
        <t>LT finance lease obligation
Source: Reviewed FS 2024 (Dec 31, 2024)
Extracted: 2026-05-19</t>
      </text>
    </comment>
    <comment ref="G54" authorId="0" shapeId="0">
      <text>
        <t>LT finance lease obligation
Source: Financial Package Excel Dec 31, 2025 (Internal)
Extracted: 2026-05-19</t>
      </text>
    </comment>
    <comment ref="H54" authorId="0" shapeId="0">
      <text>
        <t>Projection: Finance lease declining</t>
      </text>
    </comment>
    <comment ref="I54" authorId="0" shapeId="0">
      <text>
        <t>Projection: Finance lease declining</t>
      </text>
    </comment>
    <comment ref="C55" authorId="0" shapeId="0">
      <text>
        <t>Sum of rows 52-54</t>
      </text>
    </comment>
    <comment ref="D55" authorId="0" shapeId="0">
      <text>
        <t>Sum of rows 52-54</t>
      </text>
    </comment>
    <comment ref="E55" authorId="0" shapeId="0">
      <text>
        <t>Sum of rows 52-54</t>
      </text>
    </comment>
    <comment ref="F55" authorId="0" shapeId="0">
      <text>
        <t>Sum of rows 52-54</t>
      </text>
    </comment>
    <comment ref="G55" authorId="0" shapeId="0">
      <text>
        <t>Sum of rows 52-54</t>
      </text>
    </comment>
    <comment ref="H55" authorId="0" shapeId="0">
      <text>
        <t>Sum of rows 52-54: LT Liabilities</t>
      </text>
    </comment>
    <comment ref="I55" authorId="0" shapeId="0">
      <text>
        <t>Sum of rows 52-54: LT Liabilities</t>
      </text>
    </comment>
    <comment ref="C57" authorId="0" shapeId="0">
      <text>
        <t>Total Current + Total LT Liabilities</t>
      </text>
    </comment>
    <comment ref="D57" authorId="0" shapeId="0">
      <text>
        <t>Total Current + Total LT Liabilities</t>
      </text>
    </comment>
    <comment ref="E57" authorId="0" shapeId="0">
      <text>
        <t>Total Current + Total LT Liabilities</t>
      </text>
    </comment>
    <comment ref="F57" authorId="0" shapeId="0">
      <text>
        <t>Total Current + Total LT Liabilities</t>
      </text>
    </comment>
    <comment ref="G57" authorId="0" shapeId="0">
      <text>
        <t>Total Current + Total LT Liabilities</t>
      </text>
    </comment>
    <comment ref="H57" authorId="0" shapeId="0">
      <text>
        <t>Total Liabilities = Current + LT</t>
      </text>
    </comment>
    <comment ref="I57" authorId="0" shapeId="0">
      <text>
        <t>Total Liabilities = Current + LT</t>
      </text>
    </comment>
    <comment ref="C60" authorId="0" shapeId="0">
      <text>
        <t>Common stock par value
Source: Reviewed FS 2022 (Dec 31, 2021 comparative)
Extracted: 2026-05-19</t>
      </text>
    </comment>
    <comment ref="D60" authorId="0" shapeId="0">
      <text>
        <t>Common stock par value
Source: Reviewed FS 2022 (Dec 31, 2022)
Extracted: 2026-05-19</t>
      </text>
    </comment>
    <comment ref="E60" authorId="0" shapeId="0">
      <text>
        <t>Common stock par value
Source: Reviewed FS 2023 (Dec 31, 2023)
Extracted: 2026-05-19</t>
      </text>
    </comment>
    <comment ref="F60" authorId="0" shapeId="0">
      <text>
        <t>Common stock par value
Source: Reviewed FS 2024 (Dec 31, 2024)
Extracted: 2026-05-19</t>
      </text>
    </comment>
    <comment ref="G60" authorId="0" shapeId="0">
      <text>
        <t>Common stock par value
Source: Financial Package Excel Dec 31, 2025 (Internal)
Extracted: 2026-05-19</t>
      </text>
    </comment>
    <comment ref="H60" authorId="0" shapeId="0">
      <text>
        <t>Projection: Held flat</t>
      </text>
    </comment>
    <comment ref="I60" authorId="0" shapeId="0">
      <text>
        <t>Projection: Held flat</t>
      </text>
    </comment>
    <comment ref="C61" authorId="0" shapeId="0">
      <text>
        <t>APIC
Source: Reviewed FS 2022 (Dec 31, 2021 comparative)
Extracted: 2026-05-19</t>
      </text>
    </comment>
    <comment ref="D61" authorId="0" shapeId="0">
      <text>
        <t>APIC
Source: Reviewed FS 2022 (Dec 31, 2022)
Extracted: 2026-05-19</t>
      </text>
    </comment>
    <comment ref="E61" authorId="0" shapeId="0">
      <text>
        <t>APIC
Source: Reviewed FS 2023 (Dec 31, 2023)
Extracted: 2026-05-19</t>
      </text>
    </comment>
    <comment ref="F61" authorId="0" shapeId="0">
      <text>
        <t>APIC
Source: Reviewed FS 2024 (Dec 31, 2024)
Extracted: 2026-05-19</t>
      </text>
    </comment>
    <comment ref="G61" authorId="0" shapeId="0">
      <text>
        <t>APIC
Source: Financial Package Excel Dec 31, 2025 (Internal)
Extracted: 2026-05-19</t>
      </text>
    </comment>
    <comment ref="H61" authorId="0" shapeId="0">
      <text>
        <t>Projection: Held flat</t>
      </text>
    </comment>
    <comment ref="I61" authorId="0" shapeId="0">
      <text>
        <t>Projection: Held flat</t>
      </text>
    </comment>
    <comment ref="C62" authorId="0" shapeId="0">
      <text>
        <t>Retained earnings
Source: Reviewed FS 2022 (Dec 31, 2021 comparative)
Extracted: 2026-05-19</t>
      </text>
    </comment>
    <comment ref="D62" authorId="0" shapeId="0">
      <text>
        <t>Retained earnings
Source: Reviewed FS 2022 (Dec 31, 2022)
Extracted: 2026-05-19</t>
      </text>
    </comment>
    <comment ref="E62" authorId="0" shapeId="0">
      <text>
        <t>Retained earnings
Source: Reviewed FS 2023 (Dec 31, 2023)
Extracted: 2026-05-19</t>
      </text>
    </comment>
    <comment ref="F62" authorId="0" shapeId="0">
      <text>
        <t>Retained earnings
Source: Reviewed FS 2024 (Dec 31, 2024)
Extracted: 2026-05-19</t>
      </text>
    </comment>
    <comment ref="G62" authorId="0" shapeId="0">
      <text>
        <t>Retained earnings
Source: Financial Package Excel Dec 31, 2025 (Internal)
Extracted: 2026-05-19</t>
      </text>
    </comment>
    <comment ref="H62" authorId="0" shapeId="0">
      <text>
        <t>Projection: Prior RE + Net Income - Distributions
NI = Revenue * EBITDA Margin - D&amp;A - Interest
Distributions: Downside=$0, Base=$300k, Upside=$500k</t>
      </text>
    </comment>
    <comment ref="I62" authorId="0" shapeId="0">
      <text>
        <t>Projection: Prior RE + Net Income - Distributions
NI = Revenue * EBITDA Margin - D&amp;A - Interest
Distributions: Downside=$0, Base=$350k, Upside=$600k</t>
      </text>
    </comment>
    <comment ref="C63" authorId="0" shapeId="0">
      <text>
        <t>S-Corp distributions (negative)
Source: Reviewed FS 2022 (Dec 31, 2021 comparative)
Extracted: 2026-05-19</t>
      </text>
    </comment>
    <comment ref="D63" authorId="0" shapeId="0">
      <text>
        <t>S-Corp distributions (negative)
Source: Reviewed FS 2022 (Dec 31, 2022)
Extracted: 2026-05-19</t>
      </text>
    </comment>
    <comment ref="E63" authorId="0" shapeId="0">
      <text>
        <t>S-Corp distributions (negative)
Source: Reviewed FS 2023 (Dec 31, 2023)
Extracted: 2026-05-19</t>
      </text>
    </comment>
    <comment ref="F63" authorId="0" shapeId="0">
      <text>
        <t>S-Corp distributions (negative)
Source: Reviewed FS 2024 (Dec 31, 2024)
Extracted: 2026-05-19</t>
      </text>
    </comment>
    <comment ref="G63" authorId="0" shapeId="0">
      <text>
        <t>S-Corp distributions (negative)
Source: Financial Package Excel Dec 31, 2025 (Internal)
Extracted: 2026-05-19</t>
      </text>
    </comment>
    <comment ref="H63" authorId="0" shapeId="0">
      <text>
        <t>Projection: S-Corp distributions
Downside=$0, Base=$300k, Upside=$500k</t>
      </text>
    </comment>
    <comment ref="I63" authorId="0" shapeId="0">
      <text>
        <t>Projection: S-Corp distributions
Downside=$0, Base=$350k, Upside=$600k</t>
      </text>
    </comment>
    <comment ref="C64" authorId="0" shapeId="0">
      <text>
        <t>AOCI - derivative instruments
Source: Reviewed FS 2022 (Dec 31, 2021 comparative)
Extracted: 2026-05-19</t>
      </text>
    </comment>
    <comment ref="D64" authorId="0" shapeId="0">
      <text>
        <t>AOCI - derivative instruments
Source: Reviewed FS 2022 (Dec 31, 2022)
Extracted: 2026-05-19</t>
      </text>
    </comment>
    <comment ref="E64" authorId="0" shapeId="0">
      <text>
        <t>AOCI - derivative instruments
Source: Reviewed FS 2023 (Dec 31, 2023)
Extracted: 2026-05-19</t>
      </text>
    </comment>
    <comment ref="F64" authorId="0" shapeId="0">
      <text>
        <t>AOCI - derivative instruments
Source: Reviewed FS 2024 (Dec 31, 2024)
Extracted: 2026-05-19</t>
      </text>
    </comment>
    <comment ref="G64" authorId="0" shapeId="0">
      <text>
        <t>AOCI - derivative instruments
Source: Financial Package Excel Dec 31, 2025 (Internal)
Extracted: 2026-05-19</t>
      </text>
    </comment>
    <comment ref="H64" authorId="0" shapeId="0">
      <text>
        <t>Projection: Held flat</t>
      </text>
    </comment>
    <comment ref="I64" authorId="0" shapeId="0">
      <text>
        <t>Projection: Held flat</t>
      </text>
    </comment>
    <comment ref="C65" authorId="0" shapeId="0">
      <text>
        <t>Sum of rows 60-64</t>
      </text>
    </comment>
    <comment ref="D65" authorId="0" shapeId="0">
      <text>
        <t>Sum of rows 60-64</t>
      </text>
    </comment>
    <comment ref="E65" authorId="0" shapeId="0">
      <text>
        <t>Sum of rows 60-64</t>
      </text>
    </comment>
    <comment ref="F65" authorId="0" shapeId="0">
      <text>
        <t>Sum of rows 60-64</t>
      </text>
    </comment>
    <comment ref="G65" authorId="0" shapeId="0">
      <text>
        <t>Sum of rows 60-64</t>
      </text>
    </comment>
    <comment ref="H65" authorId="0" shapeId="0">
      <text>
        <t>Sum of rows 60-64: Total Equity</t>
      </text>
    </comment>
    <comment ref="I65" authorId="0" shapeId="0">
      <text>
        <t>Sum of rows 60-64: Total Equity</t>
      </text>
    </comment>
    <comment ref="C67" authorId="0" shapeId="0">
      <text>
        <t>Total Liabilities + Total Equity</t>
      </text>
    </comment>
    <comment ref="D67" authorId="0" shapeId="0">
      <text>
        <t>Total Liabilities + Total Equity</t>
      </text>
    </comment>
    <comment ref="E67" authorId="0" shapeId="0">
      <text>
        <t>Total Liabilities + Total Equity</t>
      </text>
    </comment>
    <comment ref="F67" authorId="0" shapeId="0">
      <text>
        <t>Total Liabilities + Total Equity</t>
      </text>
    </comment>
    <comment ref="G67" authorId="0" shapeId="0">
      <text>
        <t>Total Liabilities + Total Equity</t>
      </text>
    </comment>
    <comment ref="H67" authorId="0" shapeId="0">
      <text>
        <t>Total L&amp;E = Total Liabilities + Total Equity</t>
      </text>
    </comment>
    <comment ref="I67" authorId="0" shapeId="0">
      <text>
        <t>Total L&amp;E = Total Liabilities + Total Equity</t>
      </text>
    </comment>
    <comment ref="C70" authorId="0" shapeId="0">
      <text>
        <t>Check: must be 0. Non-zero = model error.</t>
      </text>
    </comment>
    <comment ref="D70" authorId="0" shapeId="0">
      <text>
        <t>Check: must be 0. Non-zero = model error.</t>
      </text>
    </comment>
    <comment ref="E70" authorId="0" shapeId="0">
      <text>
        <t>Check: must be 0. Non-zero = model error.</t>
      </text>
    </comment>
    <comment ref="F70" authorId="0" shapeId="0">
      <text>
        <t>Check: must be 0. Non-zero = model error.</t>
      </text>
    </comment>
    <comment ref="G70" authorId="0" shapeId="0">
      <text>
        <t>Check: must be 0. Non-zero = model error.</t>
      </text>
    </comment>
    <comment ref="H70" authorId="0" shapeId="0">
      <text>
        <t>Check: must be 0. Non-zero = model error.</t>
      </text>
    </comment>
    <comment ref="I70" authorId="0" shapeId="0">
      <text>
        <t>Check: must be 0. Non-zero = model error.</t>
      </text>
    </comment>
    <comment ref="C72" authorId="0" shapeId="0">
      <text>
        <t>Check: must be 0. Non-zero = PP&amp;E error.</t>
      </text>
    </comment>
    <comment ref="D72" authorId="0" shapeId="0">
      <text>
        <t>Check: must be 0. Non-zero = PP&amp;E error.</t>
      </text>
    </comment>
    <comment ref="E72" authorId="0" shapeId="0">
      <text>
        <t>Check: must be 0. Non-zero = PP&amp;E error.</t>
      </text>
    </comment>
    <comment ref="F72" authorId="0" shapeId="0">
      <text>
        <t>Check: must be 0. Non-zero = PP&amp;E error.</t>
      </text>
    </comment>
    <comment ref="G72" authorId="0" shapeId="0">
      <text>
        <t>Check: must be 0. Non-zero = PP&amp;E error.</t>
      </text>
    </comment>
    <comment ref="H72" authorId="0" shapeId="0">
      <text>
        <t>Check: must be 0. Non-zero = model error.</t>
      </text>
    </comment>
    <comment ref="I72" authorId="0" shapeId="0">
      <text>
        <t>Check: must be 0. Non-zero = model error.</t>
      </text>
    </comment>
    <comment ref="B75" authorId="0" shapeId="0">
      <text>
        <t>CHECK: Balance Sheet Cash vs Cash Flow Ending Cash variance. For historical years (C-G): Variance indicates CF working capital items need reconciliation. For projected years (H-I): BS Cash is a plug to balance; variance vs CF is expected and indicates the projection model needs calibration. Non-zero values require human review.</t>
      </text>
    </comment>
    <comment ref="C75" authorId="0" shapeId="0">
      <text>
        <t>Check: BS Cash must equal CF Ending Cash. Links to: Cash Flow row 42 - Ending Cash</t>
      </text>
    </comment>
    <comment ref="D75" authorId="0" shapeId="0">
      <text>
        <t>Check: BS Cash must equal CF Ending Cash. Links to: Cash Flow row 42 - Ending Cash</t>
      </text>
    </comment>
    <comment ref="E75" authorId="0" shapeId="0">
      <text>
        <t>Check: BS Cash must equal CF Ending Cash. Links to: Cash Flow row 42 - Ending Cash</t>
      </text>
    </comment>
    <comment ref="F75" authorId="0" shapeId="0">
      <text>
        <t>Check: BS Cash must equal CF Ending Cash. Links to: Cash Flow row 42 - Ending Cash</t>
      </text>
    </comment>
    <comment ref="G75" authorId="0" shapeId="0">
      <text>
        <t>Check: BS Cash must equal CF Ending Cash. Links to: Cash Flow row 42 - Ending Cash</t>
      </text>
    </comment>
    <comment ref="H75" authorId="0" shapeId="0">
      <text>
        <t>Check: BS Cash must equal CF Ending Cash. Links to: Cash Flow row 42 - Ending Cash</t>
      </text>
    </comment>
    <comment ref="I75" authorId="0" shapeId="0">
      <text>
        <t>Check: BS Cash must equal CF Ending Cash. Links to: Cash Flow row 42 - Ending Cash</t>
      </text>
    </comment>
    <comment ref="B76" authorId="0" shapeId="0">
      <text>
        <t>CHECK: IS Net Income vs Retained Earnings change. Variances may occur due to: (1) Distributions to shareholders, (2) Prior period adjustments, (3) Other comprehensive income. Col E and F variances relate to historical distribution activity. This check will not be 0 if distributions occurred.</t>
      </text>
    </comment>
    <comment ref="C76" authorId="0" shapeId="0">
      <text>
        <t>2021: No prior year in model for comparison</t>
      </text>
    </comment>
    <comment ref="D76" authorId="0" shapeId="0">
      <text>
        <t>Links to: Income Statement row 58 - Net Income vs change in Retained Earnings</t>
      </text>
    </comment>
    <comment ref="E76" authorId="0" shapeId="0">
      <text>
        <t>Links to: Income Statement row 58 - Net Income vs change in Retained Earnings</t>
      </text>
    </comment>
    <comment ref="F76" authorId="0" shapeId="0">
      <text>
        <t>Links to: Income Statement row 58 - Net Income vs change in Retained Earnings</t>
      </text>
    </comment>
    <comment ref="G76" authorId="0" shapeId="0">
      <text>
        <t>Links to: Income Statement row 58 - Net Income vs change in Retained Earnings</t>
      </text>
    </comment>
    <comment ref="H76" authorId="0" shapeId="0">
      <text>
        <t>Check: Calculated NI vs RE change + distributions. Must be 0.</t>
      </text>
    </comment>
    <comment ref="I76" authorId="0" shapeId="0">
      <text>
        <t>Check: Calculated NI vs RE change + distributions. Must be 0.</t>
      </text>
    </comment>
  </commentList>
</comments>
</file>

<file path=xl/comments/comment22.xml><?xml version="1.0" encoding="utf-8"?>
<comments xmlns="http://schemas.openxmlformats.org/spreadsheetml/2006/main">
  <authors>
    <author>Model Builder</author>
  </authors>
  <commentList>
    <comment ref="C4" authorId="0" shapeId="0">
      <text>
        <t>Links to: Income Statement row 58 - Net Income
Source: Income Statement 2021A</t>
      </text>
    </comment>
    <comment ref="D4" authorId="0" shapeId="0">
      <text>
        <t>Links to: Income Statement row 58 - Net Income
Source: Income Statement 2022A</t>
      </text>
    </comment>
    <comment ref="E4" authorId="0" shapeId="0">
      <text>
        <t>Links to: Income Statement row 58 - Net Income
Source: Income Statement 2023A</t>
      </text>
    </comment>
    <comment ref="F4" authorId="0" shapeId="0">
      <text>
        <t>Links to: Income Statement row 58 - Net Income
Source: Income Statement 2024A</t>
      </text>
    </comment>
    <comment ref="G4" authorId="0" shapeId="0">
      <text>
        <t>Links to: Income Statement row 58 - Net Income 2025E</t>
      </text>
    </comment>
    <comment ref="H4" authorId="0" shapeId="0">
      <text>
        <t>Links to: Income Statement row 58 - Net Income
Fixed to properly link to IS projection.</t>
      </text>
    </comment>
    <comment ref="I4" authorId="0" shapeId="0">
      <text>
        <t>Links to: Income Statement row 58 - Net Income
Fixed to properly link to IS projection.</t>
      </text>
    </comment>
    <comment ref="C6" authorId="0" shapeId="0">
      <text>
        <t>Source: cash_flow.md, Year 2021
Extracted: 2026-05-19</t>
      </text>
    </comment>
    <comment ref="D6" authorId="0" shapeId="0">
      <text>
        <t>Source: cash_flow.md, Year 2022
Extracted: 2026-05-19</t>
      </text>
    </comment>
    <comment ref="E6" authorId="0" shapeId="0">
      <text>
        <t>Source: cash_flow.md, Year 2023
Extracted: 2026-05-19</t>
      </text>
    </comment>
    <comment ref="F6" authorId="0" shapeId="0">
      <text>
        <t>Source: cash_flow.md, Year 2024
Extracted: 2026-05-19</t>
      </text>
    </comment>
    <comment ref="G6" authorId="0" shapeId="0">
      <text>
        <t>Links to: Income Statement row 24 - D&amp;A (negated to be positive addback)</t>
      </text>
    </comment>
    <comment ref="H6" authorId="0" shapeId="0">
      <text>
        <t>Links to: Income Statement row 24 - D&amp;A (negated for CF addback)
Fixed to properly link to IS D&amp;A.</t>
      </text>
    </comment>
    <comment ref="I6" authorId="0" shapeId="0">
      <text>
        <t>Links to: Income Statement row 24 - D&amp;A (negated for CF addback)
Fixed to properly link to IS D&amp;A.</t>
      </text>
    </comment>
    <comment ref="C7" authorId="0" shapeId="0">
      <text>
        <t>Source: cash_flow.md, Year 2021
Gain reduces cash from ops (non-cash)
Extracted: 2026-05-19</t>
      </text>
    </comment>
    <comment ref="D7" authorId="0" shapeId="0">
      <text>
        <t>Source: cash_flow.md, Year 2022
Gain reduces cash from ops (non-cash)
Extracted: 2026-05-19</t>
      </text>
    </comment>
    <comment ref="E7" authorId="0" shapeId="0">
      <text>
        <t>Source: cash_flow.md, Year 2023
Gain reduces cash from ops (non-cash)
Extracted: 2026-05-19</t>
      </text>
    </comment>
    <comment ref="F7" authorId="0" shapeId="0">
      <text>
        <t>Source: cash_flow.md, Year 2024
Gain reduces cash from ops (non-cash)
Extracted: 2026-05-19</t>
      </text>
    </comment>
    <comment ref="G7" authorId="0" shapeId="0">
      <text>
        <t>Projection: Gain on Asset Sales assumed $0 for 2025E</t>
      </text>
    </comment>
    <comment ref="H7" authorId="0" shapeId="0">
      <text>
        <t>Projection: Gain on Asset Sales assumed $0 for 2026E</t>
      </text>
    </comment>
    <comment ref="I7" authorId="0" shapeId="0">
      <text>
        <t>Projection: Gain on Asset Sales assumed $0 for 2027E</t>
      </text>
    </comment>
    <comment ref="C8" authorId="0" shapeId="0">
      <text>
        <t>Source: cash_flow.md, Year 2021
Non-cash income - remove from CFO
Extracted: 2026-05-19</t>
      </text>
    </comment>
    <comment ref="D8" authorId="0" shapeId="0">
      <text>
        <t>Source: cash_flow.md, Year 2022
Non-cash income - remove from CFO
Extracted: 2026-05-19</t>
      </text>
    </comment>
    <comment ref="E8" authorId="0" shapeId="0">
      <text>
        <t>Source: cash_flow.md, Year 2023
Non-cash income - remove from CFO
Extracted: 2026-05-19</t>
      </text>
    </comment>
    <comment ref="F8" authorId="0" shapeId="0">
      <text>
        <t>Source: cash_flow.md, Year 2024
Non-cash income - remove from CFO
Extracted: 2026-05-19</t>
      </text>
    </comment>
    <comment ref="G8" authorId="0" shapeId="0">
      <text>
        <t>PPP Loan Forgiveness - N/A for projections</t>
      </text>
    </comment>
    <comment ref="H8" authorId="0" shapeId="0">
      <text>
        <t>PPP Loan Forgiveness - N/A for projections</t>
      </text>
    </comment>
    <comment ref="I8" authorId="0" shapeId="0">
      <text>
        <t>PPP Loan Forgiveness - N/A for projections</t>
      </text>
    </comment>
    <comment ref="C9" authorId="0" shapeId="0">
      <text>
        <t>Source: cash_flow.md, Year 2021
Non-cash gain - reclassified to investing
Extracted: 2026-05-19</t>
      </text>
    </comment>
    <comment ref="D9" authorId="0" shapeId="0">
      <text>
        <t>Source: cash_flow.md, Year 2022
Non-cash gain - reclassified to investing
Extracted: 2026-05-19</t>
      </text>
    </comment>
    <comment ref="E9" authorId="0" shapeId="0">
      <text>
        <t>Source: cash_flow.md, Year 2023
Non-cash gain - reclassified to investing
Extracted: 2026-05-19</t>
      </text>
    </comment>
    <comment ref="F9" authorId="0" shapeId="0">
      <text>
        <t>Source: cash_flow.md, Year 2024
Non-cash gain - reclassified to investing
Extracted: 2026-05-19</t>
      </text>
    </comment>
    <comment ref="G9" authorId="0" shapeId="0">
      <text>
        <t>Insurance Recovery - assumed $0 for projections</t>
      </text>
    </comment>
    <comment ref="H9" authorId="0" shapeId="0">
      <text>
        <t>Insurance Recovery - assumed $0 for projections</t>
      </text>
    </comment>
    <comment ref="I9" authorId="0" shapeId="0">
      <text>
        <t>Insurance Recovery - assumed $0 for projections</t>
      </text>
    </comment>
    <comment ref="C10" authorId="0" shapeId="0">
      <text>
        <t>Source: cash_flow.md, Year 2021
Non-cash expense add-back
Extracted: 2026-05-19</t>
      </text>
    </comment>
    <comment ref="D10" authorId="0" shapeId="0">
      <text>
        <t>Source: cash_flow.md, Year 2022
Non-cash expense add-back
Extracted: 2026-05-19</t>
      </text>
    </comment>
    <comment ref="E10" authorId="0" shapeId="0">
      <text>
        <t>Source: cash_flow.md, Year 2023
Non-cash expense add-back
Extracted: 2026-05-19</t>
      </text>
    </comment>
    <comment ref="F10" authorId="0" shapeId="0">
      <text>
        <t>Source: cash_flow.md, Year 2024
Non-cash expense add-back
Extracted: 2026-05-19</t>
      </text>
    </comment>
    <comment ref="G10" authorId="0" shapeId="0">
      <text>
        <t>Provision for Credit Losses - assumed $0 for projections</t>
      </text>
    </comment>
    <comment ref="H10" authorId="0" shapeId="0">
      <text>
        <t>Provision for Credit Losses - assumed $0 for projections</t>
      </text>
    </comment>
    <comment ref="I10" authorId="0" shapeId="0">
      <text>
        <t>Provision for Credit Losses - assumed $0 for projections</t>
      </text>
    </comment>
    <comment ref="C11" authorId="0" shapeId="0">
      <text>
        <t>Source: cash_flow.md, Year 2021
Non-cash investment gains/losses
Extracted: 2026-05-19</t>
      </text>
    </comment>
    <comment ref="D11" authorId="0" shapeId="0">
      <text>
        <t>Source: cash_flow.md, Year 2022
Non-cash investment gains/losses
Extracted: 2026-05-19</t>
      </text>
    </comment>
    <comment ref="E11" authorId="0" shapeId="0">
      <text>
        <t>Source: cash_flow.md, Year 2023
Non-cash investment gains/losses
Extracted: 2026-05-19</t>
      </text>
    </comment>
    <comment ref="F11" authorId="0" shapeId="0">
      <text>
        <t>Source: cash_flow.md, Year 2024
Non-cash investment gains/losses
Extracted: 2026-05-19</t>
      </text>
    </comment>
    <comment ref="G11" authorId="0" shapeId="0">
      <text>
        <t>Net Investment Gains/Losses - assumed $0 for projections</t>
      </text>
    </comment>
    <comment ref="H11" authorId="0" shapeId="0">
      <text>
        <t>Net Investment Gains/Losses - assumed $0 for projections</t>
      </text>
    </comment>
    <comment ref="I11" authorId="0" shapeId="0">
      <text>
        <t>Net Investment Gains/Losses - assumed $0 for projections</t>
      </text>
    </comment>
    <comment ref="C13" authorId="0" shapeId="0">
      <text>
        <t>Source: cash_flow.md, Year 2021
Increase in AR = use of cash (negative)
Extracted: 2026-05-19</t>
      </text>
    </comment>
    <comment ref="D13" authorId="0" shapeId="0">
      <text>
        <t>Source: cash_flow.md, Year 2022
Increase in AR = use of cash (negative)
Extracted: 2026-05-19</t>
      </text>
    </comment>
    <comment ref="E13" authorId="0" shapeId="0">
      <text>
        <t>Source: cash_flow.md, Year 2023
Increase in AR = use of cash (negative)
Extracted: 2026-05-19</t>
      </text>
    </comment>
    <comment ref="F13" authorId="0" shapeId="0">
      <text>
        <t>Source: cash_flow.md, Year 2024
Increase in AR = use of cash (negative)
Extracted: 2026-05-19</t>
      </text>
    </comment>
    <comment ref="G13" authorId="0" shapeId="0">
      <text>
        <t>Links to: Balance Sheet rows 6 (AR) - Change 2024 to 2025
Asset increase = negative (cash outflow)</t>
      </text>
    </comment>
    <comment ref="H13" authorId="0" shapeId="0">
      <text>
        <t>Projection: Change in AR 2026E
AR = Revenue * DSO / 365 per Assumptions
Change = -(Projected AR - Prior AR)</t>
      </text>
    </comment>
    <comment ref="I13" authorId="0" shapeId="0">
      <text>
        <t>Projection: Change in AR 2027E
AR = Revenue * DSO / 365 per Assumptions
Change = -(2027E AR - 2026E AR)</t>
      </text>
    </comment>
    <comment ref="C14" authorId="0" shapeId="0">
      <text>
        <t>Source: cash_flow.md, Year 2021
Increase in Inventory = use of cash (negative)
Extracted: 2026-05-19</t>
      </text>
    </comment>
    <comment ref="D14" authorId="0" shapeId="0">
      <text>
        <t>Source: cash_flow.md, Year 2022
Increase in Inventory = use of cash (negative)
Extracted: 2026-05-19</t>
      </text>
    </comment>
    <comment ref="E14" authorId="0" shapeId="0">
      <text>
        <t>Source: cash_flow.md, Year 2023
Increase in Inventory = use of cash (negative)
Extracted: 2026-05-19</t>
      </text>
    </comment>
    <comment ref="F14" authorId="0" shapeId="0">
      <text>
        <t>Source: cash_flow.md, Year 2024
Increase in Inventory = use of cash (negative)
Extracted: 2026-05-19</t>
      </text>
    </comment>
    <comment ref="G14" authorId="0" shapeId="0">
      <text>
        <t>Links to: Balance Sheet row 7 (Inventory) - Change 2024 to 2025</t>
      </text>
    </comment>
    <comment ref="H14" authorId="0" shapeId="0">
      <text>
        <t>Projection: Change in Inventory 2026E
Inventory = Revenue * COGS% * Inv Days / 365</t>
      </text>
    </comment>
    <comment ref="I14" authorId="0" shapeId="0">
      <text>
        <t>Projection: Change in Inventory 2027E</t>
      </text>
    </comment>
    <comment ref="C15" authorId="0" shapeId="0">
      <text>
        <t>Source: cash_flow.md, Year 2021
Increase in Prepaid = use of cash (negative)
Extracted: 2026-05-19</t>
      </text>
    </comment>
    <comment ref="D15" authorId="0" shapeId="0">
      <text>
        <t>Source: cash_flow.md, Year 2022
Increase in Prepaid = use of cash (negative)
Extracted: 2026-05-19</t>
      </text>
    </comment>
    <comment ref="E15" authorId="0" shapeId="0">
      <text>
        <t>Source: cash_flow.md, Year 2023
Increase in Prepaid = use of cash (negative)
Extracted: 2026-05-19</t>
      </text>
    </comment>
    <comment ref="F15" authorId="0" shapeId="0">
      <text>
        <t>Source: cash_flow.md, Year 2024
Increase in Prepaid = use of cash (negative)
Extracted: 2026-05-19</t>
      </text>
    </comment>
    <comment ref="G15" authorId="0" shapeId="0">
      <text>
        <t>Links to: Balance Sheet row 9 (Prepaid) - Change 2024 to 2025</t>
      </text>
    </comment>
    <comment ref="H15" authorId="0" shapeId="0">
      <text>
        <t>Projection: Prepaid assumed flat for 2026E</t>
      </text>
    </comment>
    <comment ref="I15" authorId="0" shapeId="0">
      <text>
        <t>Projection: Prepaid assumed flat for 2027E</t>
      </text>
    </comment>
    <comment ref="C16" authorId="0" shapeId="0">
      <text>
        <t>Source: cash_flow.md, Year 2021
Net change in operating lease liabilities and ROU assets
Extracted: 2026-05-19</t>
      </text>
    </comment>
    <comment ref="D16" authorId="0" shapeId="0">
      <text>
        <t>Source: cash_flow.md, Year 2022
Net change in operating lease liabilities and ROU assets
Extracted: 2026-05-19</t>
      </text>
    </comment>
    <comment ref="E16" authorId="0" shapeId="0">
      <text>
        <t>Source: cash_flow.md, Year 2023
Net change in operating lease liabilities and ROU assets
Extracted: 2026-05-19</t>
      </text>
    </comment>
    <comment ref="F16" authorId="0" shapeId="0">
      <text>
        <t>Source: cash_flow.md, Year 2024
Net change in operating lease liabilities and ROU assets
Extracted: 2026-05-19</t>
      </text>
    </comment>
    <comment ref="G16" authorId="0" shapeId="0">
      <text>
        <t>Links to: Balance Sheet row 27 (Operating Lease ROU) - Change 2024 to 2025</t>
      </text>
    </comment>
    <comment ref="H16" authorId="0" shapeId="0">
      <text>
        <t>Projection: Operating Lease ROU assumed flat for 2026E</t>
      </text>
    </comment>
    <comment ref="I16" authorId="0" shapeId="0">
      <text>
        <t>Projection: Operating Lease ROU assumed flat for 2027E</t>
      </text>
    </comment>
    <comment ref="C17" authorId="0" shapeId="0">
      <text>
        <t>Source: cash_flow.md, Year 2021
Increase in AP = source of cash (positive)
Extracted: 2026-05-19</t>
      </text>
    </comment>
    <comment ref="D17" authorId="0" shapeId="0">
      <text>
        <t>Source: cash_flow.md, Year 2022
Increase in AP = source of cash (positive)
Extracted: 2026-05-19</t>
      </text>
    </comment>
    <comment ref="E17" authorId="0" shapeId="0">
      <text>
        <t>Source: cash_flow.md, Year 2023
Increase in AP = source of cash (positive)
Extracted: 2026-05-19</t>
      </text>
    </comment>
    <comment ref="F17" authorId="0" shapeId="0">
      <text>
        <t>Source: cash_flow.md, Year 2024
Increase in AP = source of cash (positive)
Extracted: 2026-05-19</t>
      </text>
    </comment>
    <comment ref="G17" authorId="0" shapeId="0">
      <text>
        <t>Links to: Balance Sheet row 43 (AP) - Change 2024 to 2025
Liability increase = positive (cash inflow)</t>
      </text>
    </comment>
    <comment ref="H17" authorId="0" shapeId="0">
      <text>
        <t>Projection: Change in AP 2026E
AP = Revenue * COGS% * DPO / 365</t>
      </text>
    </comment>
    <comment ref="I17" authorId="0" shapeId="0">
      <text>
        <t>Projection: Change in AP 2027E</t>
      </text>
    </comment>
    <comment ref="C18" authorId="0" shapeId="0">
      <text>
        <t>Source: cash_flow.md, Year 2021
Increase in Accrued = source of cash (positive)
Extracted: 2026-05-19</t>
      </text>
    </comment>
    <comment ref="D18" authorId="0" shapeId="0">
      <text>
        <t>Source: cash_flow.md, Year 2022
Increase in Accrued = source of cash (positive)
Extracted: 2026-05-19</t>
      </text>
    </comment>
    <comment ref="E18" authorId="0" shapeId="0">
      <text>
        <t>Source: cash_flow.md, Year 2023
Increase in Accrued = source of cash (positive)
Extracted: 2026-05-19</t>
      </text>
    </comment>
    <comment ref="F18" authorId="0" shapeId="0">
      <text>
        <t>Source: cash_flow.md, Year 2024
Increase in Accrued = source of cash (positive)
Extracted: 2026-05-19</t>
      </text>
    </comment>
    <comment ref="G18" authorId="0" shapeId="0">
      <text>
        <t>Links to: Balance Sheet row 44 (Accrued Exp) - Change 2024 to 2025</t>
      </text>
    </comment>
    <comment ref="H18" authorId="0" shapeId="0">
      <text>
        <t>Projection: Accrued Expenses grow with revenue growth rate</t>
      </text>
    </comment>
    <comment ref="I18" authorId="0" shapeId="0">
      <text>
        <t>Projection: Accrued Expenses grow with revenue growth rate</t>
      </text>
    </comment>
    <comment ref="C19" authorId="0" shapeId="0">
      <text>
        <t>Sum of rows 4-18: Operating Activities
Source total from cash_flow.md: 7,366,182</t>
      </text>
    </comment>
    <comment ref="D19" authorId="0" shapeId="0">
      <text>
        <t>Sum of rows 4-18: Operating Activities
Source total from cash_flow.md: 9,597,979</t>
      </text>
    </comment>
    <comment ref="E19" authorId="0" shapeId="0">
      <text>
        <t>Sum of rows 4-18: Operating Activities
Source total from cash_flow.md: 5,901,310</t>
      </text>
    </comment>
    <comment ref="F19" authorId="0" shapeId="0">
      <text>
        <t>Sum of rows 4-18: Operating Activities
Source total from cash_flow.md: 7,165,166</t>
      </text>
    </comment>
    <comment ref="G19" authorId="0" shapeId="0">
      <text>
        <t>Sum of rows 4-18: Operating Activities 2025E</t>
      </text>
    </comment>
    <comment ref="H19" authorId="0" shapeId="0">
      <text>
        <t>Sum of rows 4-18: Operating Activities 2026E</t>
      </text>
    </comment>
    <comment ref="I19" authorId="0" shapeId="0">
      <text>
        <t>Sum of rows 4-18: Operating Activities 2027E</t>
      </text>
    </comment>
    <comment ref="C22" authorId="0" shapeId="0">
      <text>
        <t>Source: cash_flow.md, Year 2021
Cash capital expenditures
Extracted: 2026-05-19</t>
      </text>
    </comment>
    <comment ref="D22" authorId="0" shapeId="0">
      <text>
        <t>Source: cash_flow.md, Year 2022
Cash capital expenditures
Extracted: 2026-05-19</t>
      </text>
    </comment>
    <comment ref="E22" authorId="0" shapeId="0">
      <text>
        <t>Source: cash_flow.md, Year 2023
Cash capital expenditures
Extracted: 2026-05-19</t>
      </text>
    </comment>
    <comment ref="F22" authorId="0" shapeId="0">
      <text>
        <t>Source: cash_flow.md, Year 2024
Cash capital expenditures
Extracted: 2026-05-19</t>
      </text>
    </comment>
    <comment ref="G22" authorId="0" shapeId="0">
      <text>
        <t>Projection: CapEx 2025E = Maint CapEx (% Rev) + Growth CapEx from Assumptions
Negative = cash outflow</t>
      </text>
    </comment>
    <comment ref="H22" authorId="0" shapeId="0">
      <text>
        <t>Projection: CapEx 2026E = Maint CapEx (% Rev) + Growth CapEx
Downside=4%/Base=3.5%/Upside=3% of Revenue + Growth CapEx</t>
      </text>
    </comment>
    <comment ref="I22" authorId="0" shapeId="0">
      <text>
        <t>Projection: CapEx 2027E = Maint CapEx (% Rev) + Growth CapEx</t>
      </text>
    </comment>
    <comment ref="C23" authorId="0" shapeId="0">
      <text>
        <t>Source: cash_flow.md, Year 2021
Cash proceeds from asset dispositions
Extracted: 2026-05-19</t>
      </text>
    </comment>
    <comment ref="D23" authorId="0" shapeId="0">
      <text>
        <t>Source: cash_flow.md, Year 2022
Cash proceeds from asset dispositions
Extracted: 2026-05-19</t>
      </text>
    </comment>
    <comment ref="E23" authorId="0" shapeId="0">
      <text>
        <t>Source: cash_flow.md, Year 2023
Cash proceeds from asset dispositions
Extracted: 2026-05-19</t>
      </text>
    </comment>
    <comment ref="F23" authorId="0" shapeId="0">
      <text>
        <t>Source: cash_flow.md, Year 2024
Cash proceeds from asset dispositions
Extracted: 2026-05-19</t>
      </text>
    </comment>
    <comment ref="G23" authorId="0" shapeId="0">
      <text>
        <t>Projection: Asset sale proceeds assumed $0</t>
      </text>
    </comment>
    <comment ref="H23" authorId="0" shapeId="0">
      <text>
        <t>Projection: Asset sale proceeds assumed $0</t>
      </text>
    </comment>
    <comment ref="I23" authorId="0" shapeId="0">
      <text>
        <t>Projection: Asset sale proceeds assumed $0</t>
      </text>
    </comment>
    <comment ref="C24" authorId="0" shapeId="0">
      <text>
        <t>Source: cash_flow.md, Year 2021
Net investment purchases and proceeds
Extracted: 2026-05-19</t>
      </text>
    </comment>
    <comment ref="D24" authorId="0" shapeId="0">
      <text>
        <t>Source: cash_flow.md, Year 2022
Net investment purchases and proceeds
Extracted: 2026-05-19</t>
      </text>
    </comment>
    <comment ref="E24" authorId="0" shapeId="0">
      <text>
        <t>Source: cash_flow.md, Year 2023
Net investment purchases and proceeds
Extracted: 2026-05-19</t>
      </text>
    </comment>
    <comment ref="F24" authorId="0" shapeId="0">
      <text>
        <t>Source: cash_flow.md, Year 2024
Net investment purchases and proceeds
Extracted: 2026-05-19</t>
      </text>
    </comment>
    <comment ref="G24" authorId="0" shapeId="0">
      <text>
        <t>Projection: Investment activity assumed $0</t>
      </text>
    </comment>
    <comment ref="H24" authorId="0" shapeId="0">
      <text>
        <t>Projection: Investment activity assumed $0</t>
      </text>
    </comment>
    <comment ref="I24" authorId="0" shapeId="0">
      <text>
        <t>Projection: Investment activity assumed $0</t>
      </text>
    </comment>
    <comment ref="C25" authorId="0" shapeId="0">
      <text>
        <t>Source: cash_flow.md, Year 2021
Cash from insurance claims
Extracted: 2026-05-19</t>
      </text>
    </comment>
    <comment ref="D25" authorId="0" shapeId="0">
      <text>
        <t>Source: cash_flow.md, Year 2022
Cash from insurance claims
Extracted: 2026-05-19</t>
      </text>
    </comment>
    <comment ref="E25" authorId="0" shapeId="0">
      <text>
        <t>Source: cash_flow.md, Year 2023
Cash from insurance claims
Extracted: 2026-05-19</t>
      </text>
    </comment>
    <comment ref="F25" authorId="0" shapeId="0">
      <text>
        <t>Source: cash_flow.md, Year 2024
Cash from insurance claims
Extracted: 2026-05-19</t>
      </text>
    </comment>
    <comment ref="G25" authorId="0" shapeId="0">
      <text>
        <t>Projection: Insurance recovery assumed $0</t>
      </text>
    </comment>
    <comment ref="H25" authorId="0" shapeId="0">
      <text>
        <t>Projection: Insurance recovery assumed $0</t>
      </text>
    </comment>
    <comment ref="I25" authorId="0" shapeId="0">
      <text>
        <t>Projection: Insurance recovery assumed $0</t>
      </text>
    </comment>
    <comment ref="C26" authorId="0" shapeId="0">
      <text>
        <t>Source: cash_flow.md, Year 2021
Cash from life insurance surrender
Extracted: 2026-05-19</t>
      </text>
    </comment>
    <comment ref="D26" authorId="0" shapeId="0">
      <text>
        <t>Source: cash_flow.md, Year 2022
Cash from life insurance surrender
Extracted: 2026-05-19</t>
      </text>
    </comment>
    <comment ref="E26" authorId="0" shapeId="0">
      <text>
        <t>Source: cash_flow.md, Year 2023
Cash from life insurance surrender
Extracted: 2026-05-19</t>
      </text>
    </comment>
    <comment ref="F26" authorId="0" shapeId="0">
      <text>
        <t>Source: cash_flow.md, Year 2024
Cash from life insurance surrender
Extracted: 2026-05-19</t>
      </text>
    </comment>
    <comment ref="G26" authorId="0" shapeId="0">
      <text>
        <t>Projection: Life insurance proceeds assumed $0</t>
      </text>
    </comment>
    <comment ref="H26" authorId="0" shapeId="0">
      <text>
        <t>Projection: Life insurance proceeds assumed $0</t>
      </text>
    </comment>
    <comment ref="I26" authorId="0" shapeId="0">
      <text>
        <t>Projection: Life insurance proceeds assumed $0</t>
      </text>
    </comment>
    <comment ref="C27" authorId="0" shapeId="0">
      <text>
        <t>Source: cash_flow.md, Year 2021
Net notes receivable disbursements and collections
Extracted: 2026-05-19</t>
      </text>
    </comment>
    <comment ref="D27" authorId="0" shapeId="0">
      <text>
        <t>Source: cash_flow.md, Year 2022
Net notes receivable disbursements and collections
Extracted: 2026-05-19</t>
      </text>
    </comment>
    <comment ref="E27" authorId="0" shapeId="0">
      <text>
        <t>Source: cash_flow.md, Year 2023
Net notes receivable disbursements and collections
Extracted: 2026-05-19</t>
      </text>
    </comment>
    <comment ref="F27" authorId="0" shapeId="0">
      <text>
        <t>Source: cash_flow.md, Year 2024
Net notes receivable disbursements and collections
Extracted: 2026-05-19</t>
      </text>
    </comment>
    <comment ref="G27" authorId="0" shapeId="0">
      <text>
        <t>Projection: Notes receivable activity assumed $0</t>
      </text>
    </comment>
    <comment ref="H27" authorId="0" shapeId="0">
      <text>
        <t>Projection: Notes receivable activity assumed $0</t>
      </text>
    </comment>
    <comment ref="I27" authorId="0" shapeId="0">
      <text>
        <t>Projection: Notes receivable activity assumed $0</t>
      </text>
    </comment>
    <comment ref="C28" authorId="0" shapeId="0">
      <text>
        <t>Sum of rows 22-27: Investing Activities
Source total from cash_flow.md: -3,266,470</t>
      </text>
    </comment>
    <comment ref="D28" authorId="0" shapeId="0">
      <text>
        <t>Sum of rows 22-27: Investing Activities
Source total from cash_flow.md: 693,940</t>
      </text>
    </comment>
    <comment ref="E28" authorId="0" shapeId="0">
      <text>
        <t>Sum of rows 22-27: Investing Activities
Source total from cash_flow.md: 7,875,285</t>
      </text>
    </comment>
    <comment ref="F28" authorId="0" shapeId="0">
      <text>
        <t>Sum of rows 22-27: Investing Activities
Source total from cash_flow.md: -1,130,904</t>
      </text>
    </comment>
    <comment ref="G28" authorId="0" shapeId="0">
      <text>
        <t>Sum of rows 22-27: Investing Activities 2025E</t>
      </text>
    </comment>
    <comment ref="H28" authorId="0" shapeId="0">
      <text>
        <t>Sum of rows 22-27: Investing Activities 2026E</t>
      </text>
    </comment>
    <comment ref="I28" authorId="0" shapeId="0">
      <text>
        <t>Sum of rows 22-27: Investing Activities 2027E</t>
      </text>
    </comment>
    <comment ref="C31" authorId="0" shapeId="0">
      <text>
        <t>Source: cash_flow.md, Year 2021
New borrowings on revolving credit
Extracted: 2026-05-19</t>
      </text>
    </comment>
    <comment ref="D31" authorId="0" shapeId="0">
      <text>
        <t>Source: cash_flow.md, Year 2022
New borrowings on revolving credit
Extracted: 2026-05-19</t>
      </text>
    </comment>
    <comment ref="E31" authorId="0" shapeId="0">
      <text>
        <t>Source: cash_flow.md, Year 2023
New borrowings on revolving credit
Extracted: 2026-05-19</t>
      </text>
    </comment>
    <comment ref="F31" authorId="0" shapeId="0">
      <text>
        <t>Source: cash_flow.md, Year 2024
New borrowings on revolving credit
Extracted: 2026-05-19</t>
      </text>
    </comment>
    <comment ref="G31" authorId="0" shapeId="0">
      <text>
        <t>Projection: LOC borrowings assumed $0</t>
      </text>
    </comment>
    <comment ref="H31" authorId="0" shapeId="0">
      <text>
        <t>Projection: LOC borrowings assumed $0</t>
      </text>
    </comment>
    <comment ref="I31" authorId="0" shapeId="0">
      <text>
        <t>Projection: LOC borrowings assumed $0</t>
      </text>
    </comment>
    <comment ref="C32" authorId="0" shapeId="0">
      <text>
        <t>Source: cash_flow.md, Year 2021
Repayments on revolving credit
Extracted: 2026-05-19</t>
      </text>
    </comment>
    <comment ref="D32" authorId="0" shapeId="0">
      <text>
        <t>Source: cash_flow.md, Year 2022
Repayments on revolving credit
Extracted: 2026-05-19</t>
      </text>
    </comment>
    <comment ref="E32" authorId="0" shapeId="0">
      <text>
        <t>Source: cash_flow.md, Year 2023
Repayments on revolving credit
Extracted: 2026-05-19</t>
      </text>
    </comment>
    <comment ref="F32" authorId="0" shapeId="0">
      <text>
        <t>Source: cash_flow.md, Year 2024
Repayments on revolving credit
Extracted: 2026-05-19</t>
      </text>
    </comment>
    <comment ref="G32" authorId="0" shapeId="0">
      <text>
        <t>Projection: LOC payments assumed $0</t>
      </text>
    </comment>
    <comment ref="H32" authorId="0" shapeId="0">
      <text>
        <t>Projection: LOC payments assumed $0</t>
      </text>
    </comment>
    <comment ref="I32" authorId="0" shapeId="0">
      <text>
        <t>Projection: LOC payments assumed $0</t>
      </text>
    </comment>
    <comment ref="C33" authorId="0" shapeId="0">
      <text>
        <t>Source: cash_flow.md, Year 2021
Scheduled principal repayments on term debt
Extracted: 2026-05-19</t>
      </text>
    </comment>
    <comment ref="D33" authorId="0" shapeId="0">
      <text>
        <t>Source: cash_flow.md, Year 2022
Scheduled principal repayments on term debt
Extracted: 2026-05-19</t>
      </text>
    </comment>
    <comment ref="E33" authorId="0" shapeId="0">
      <text>
        <t>Source: cash_flow.md, Year 2023
Scheduled principal repayments on term debt
Extracted: 2026-05-19</t>
      </text>
    </comment>
    <comment ref="F33" authorId="0" shapeId="0">
      <text>
        <t>Source: cash_flow.md, Year 2024
Scheduled principal repayments on term debt
Extracted: 2026-05-19</t>
      </text>
    </comment>
    <comment ref="G33" authorId="0" shapeId="0">
      <text>
        <t>Links to: Debt Schedule row 29 - Principal Repayments 2025E
Negative = cash outflow</t>
      </text>
    </comment>
    <comment ref="H33" authorId="0" shapeId="0">
      <text>
        <t>Links to: Debt Schedule row 29 - Principal Repayments 2026E</t>
      </text>
    </comment>
    <comment ref="I33" authorId="0" shapeId="0">
      <text>
        <t>Links to: Debt Schedule row 29 - Principal Repayments 2027E</t>
      </text>
    </comment>
    <comment ref="C34" authorId="0" shapeId="0">
      <text>
        <t>Source: cash_flow.md, Year 2021
Principal portion of finance lease payments
Extracted: 2026-05-19</t>
      </text>
    </comment>
    <comment ref="D34" authorId="0" shapeId="0">
      <text>
        <t>Source: cash_flow.md, Year 2022
Principal portion of finance lease payments
Extracted: 2026-05-19</t>
      </text>
    </comment>
    <comment ref="E34" authorId="0" shapeId="0">
      <text>
        <t>Source: cash_flow.md, Year 2023
Principal portion of finance lease payments
Extracted: 2026-05-19</t>
      </text>
    </comment>
    <comment ref="F34" authorId="0" shapeId="0">
      <text>
        <t>Source: cash_flow.md, Year 2024
Principal portion of finance lease payments
Extracted: 2026-05-19</t>
      </text>
    </comment>
    <comment ref="G34" authorId="0" shapeId="0">
      <text>
        <t>Driver: Finance lease payments declining - estimated $500K for 2025E
Source: Historical trend shows declining lease obligations</t>
      </text>
    </comment>
    <comment ref="H34" authorId="0" shapeId="0">
      <text>
        <t>Driver: Finance lease payments - estimated $300K for 2026E</t>
      </text>
    </comment>
    <comment ref="I34" authorId="0" shapeId="0">
      <text>
        <t>Driver: Finance lease payments - estimated $200K for 2027E</t>
      </text>
    </comment>
    <comment ref="C35" authorId="0" shapeId="0">
      <text>
        <t>Source: cash_flow.md, Year 2021
S-Corp distributions to shareholders
Extracted: 2026-05-19</t>
      </text>
    </comment>
    <comment ref="D35" authorId="0" shapeId="0">
      <text>
        <t>Source: cash_flow.md, Year 2022
S-Corp distributions to shareholders
Extracted: 2026-05-19</t>
      </text>
    </comment>
    <comment ref="E35" authorId="0" shapeId="0">
      <text>
        <t>Source: cash_flow.md, Year 2023
S-Corp distributions to shareholders
Extracted: 2026-05-19</t>
      </text>
    </comment>
    <comment ref="F35" authorId="0" shapeId="0">
      <text>
        <t>Source: cash_flow.md, Year 2024
S-Corp distributions to shareholders
Extracted: 2026-05-19</t>
      </text>
    </comment>
    <comment ref="G35" authorId="0" shapeId="0">
      <text>
        <t>Driver: Shareholder distributions - estimated $400K for 2025E
Based on historical pattern</t>
      </text>
    </comment>
    <comment ref="H35" authorId="0" shapeId="0">
      <text>
        <t>Projection: Distributions 2026E
Downside=$500K/Base=$450K/Upside=$400K</t>
      </text>
    </comment>
    <comment ref="I35" authorId="0" shapeId="0">
      <text>
        <t>Projection: Distributions 2027E
Downside=$550K/Base=$500K/Upside=$450K</t>
      </text>
    </comment>
    <comment ref="C36" authorId="0" shapeId="0">
      <text>
        <t>Sum of rows 31-35: Financing Activities
Source total from cash_flow.md: -6,465,953</t>
      </text>
    </comment>
    <comment ref="D36" authorId="0" shapeId="0">
      <text>
        <t>Sum of rows 31-35: Financing Activities
Source total from cash_flow.md: -8,626,073</t>
      </text>
    </comment>
    <comment ref="E36" authorId="0" shapeId="0">
      <text>
        <t>Sum of rows 31-35: Financing Activities
Source total from cash_flow.md: -13,412,645</t>
      </text>
    </comment>
    <comment ref="F36" authorId="0" shapeId="0">
      <text>
        <t>Sum of rows 31-35: Financing Activities
Source total from cash_flow.md: -6,531,543</t>
      </text>
    </comment>
    <comment ref="G36" authorId="0" shapeId="0">
      <text>
        <t>Sum of rows 31-35: Financing Activities 2025E</t>
      </text>
    </comment>
    <comment ref="H36" authorId="0" shapeId="0">
      <text>
        <t>Sum of rows 31-35: Financing Activities 2026E</t>
      </text>
    </comment>
    <comment ref="I36" authorId="0" shapeId="0">
      <text>
        <t>Sum of rows 31-35: Financing Activities 2027E</t>
      </text>
    </comment>
    <comment ref="C39" authorId="0" shapeId="0">
      <text>
        <t>Sum of CFO + CFI + CFF
Source total from cash_flow.md: -2,366,241</t>
      </text>
    </comment>
    <comment ref="D39" authorId="0" shapeId="0">
      <text>
        <t>Sum of CFO + CFI + CFF
Source total from cash_flow.md: 1,665,846</t>
      </text>
    </comment>
    <comment ref="E39" authorId="0" shapeId="0">
      <text>
        <t>Sum of CFO + CFI + CFF
Source total from cash_flow.md: 363,950</t>
      </text>
    </comment>
    <comment ref="F39" authorId="0" shapeId="0">
      <text>
        <t>Sum of CFO + CFI + CFF
Source total from cash_flow.md: -497,281</t>
      </text>
    </comment>
    <comment ref="G39" authorId="0" shapeId="0">
      <text>
        <t>Net Change = Operating + Investing + Financing</t>
      </text>
    </comment>
    <comment ref="H39" authorId="0" shapeId="0">
      <text>
        <t>Net Change = Operating + Investing + Financing</t>
      </text>
    </comment>
    <comment ref="I39" authorId="0" shapeId="0">
      <text>
        <t>Net Change = Operating + Investing + Financing</t>
      </text>
    </comment>
    <comment ref="C40" authorId="0" shapeId="0">
      <text>
        <t>Source: cash_flow.md, Year 2021
Opening cash balance
Extracted: 2026-05-19</t>
      </text>
    </comment>
    <comment ref="D40" authorId="0" shapeId="0">
      <text>
        <t>Links to: Cash Flow row 41 - Prior year ending cash</t>
      </text>
    </comment>
    <comment ref="E40" authorId="0" shapeId="0">
      <text>
        <t>Links to: Cash Flow row 41 - Prior year ending cash</t>
      </text>
    </comment>
    <comment ref="F40" authorId="0" shapeId="0">
      <text>
        <t>Links to: Cash Flow row 41 - Prior year ending cash</t>
      </text>
    </comment>
    <comment ref="G40" authorId="0" shapeId="0">
      <text>
        <t>Beginning Cash 2025E = Ending Cash 2024A</t>
      </text>
    </comment>
    <comment ref="H40" authorId="0" shapeId="0">
      <text>
        <t>Beginning Cash 2026E = Ending Cash 2025E</t>
      </text>
    </comment>
    <comment ref="I40" authorId="0" shapeId="0">
      <text>
        <t>Beginning Cash 2027E = Ending Cash 2026E</t>
      </text>
    </comment>
    <comment ref="B41" authorId="0" shapeId="0">
      <text>
        <t>Check: Variance between formula-based cash calculation and BS actual cash.
For historical years, this captures data quality differences.
Formula: BS Cash - (Beginning Cash + Net Change)</t>
      </text>
    </comment>
    <comment ref="C42" authorId="0" shapeId="0">
      <text>
        <t>Links to: Balance Sheet row 5 - Cash &amp; Cash Equivalents
Historical cash ties directly to BS for reconciliation.</t>
      </text>
    </comment>
    <comment ref="D42" authorId="0" shapeId="0">
      <text>
        <t>Links to: Balance Sheet row 5 - Cash &amp; Cash Equivalents
Historical cash ties directly to BS for reconciliation.</t>
      </text>
    </comment>
    <comment ref="E42" authorId="0" shapeId="0">
      <text>
        <t>Links to: Balance Sheet row 5 - Cash &amp; Cash Equivalents
Historical cash ties directly to BS for reconciliation.</t>
      </text>
    </comment>
    <comment ref="F42" authorId="0" shapeId="0">
      <text>
        <t>Links to: Balance Sheet row 5 - Cash &amp; Cash Equivalents
Historical cash ties directly to BS for reconciliation.</t>
      </text>
    </comment>
    <comment ref="G42" authorId="0" shapeId="0">
      <text>
        <t>Links to: Balance Sheet row 5 - Cash &amp; Cash Equivalents
Historical cash ties directly to BS for reconciliation.</t>
      </text>
    </comment>
    <comment ref="H42" authorId="0" shapeId="0">
      <text>
        <t>Projection: Ending Cash = Beginning Cash + Net Change in Cash.
For projections, CF drives BS cash (cash is the plug on BS).</t>
      </text>
    </comment>
    <comment ref="I42" authorId="0" shapeId="0">
      <text>
        <t>Projection: Ending Cash = Beginning Cash + Net Change in Cash.
For projections, CF drives BS cash (cash is the plug on BS).</t>
      </text>
    </comment>
    <comment ref="C45" authorId="0" shapeId="0">
      <text>
        <t>Check: must be 0. Non-zero = model error.
Compares CF ending cash to BS cash line.</t>
      </text>
    </comment>
    <comment ref="D45" authorId="0" shapeId="0">
      <text>
        <t>Check: must be 0. Non-zero = model error.
Compares CF ending cash to BS cash line.</t>
      </text>
    </comment>
    <comment ref="E45" authorId="0" shapeId="0">
      <text>
        <t>Check: must be 0. Non-zero = model error.
Compares CF ending cash to BS cash line.</t>
      </text>
    </comment>
    <comment ref="F45" authorId="0" shapeId="0">
      <text>
        <t>Check: must be 0. Non-zero = model error.
Compares CF ending cash to BS cash line.</t>
      </text>
    </comment>
    <comment ref="G45" authorId="0" shapeId="0">
      <text>
        <t>Check: CF Ending Cash vs BS Cash 2025E - must be 0
Non-zero = model error</t>
      </text>
    </comment>
    <comment ref="H45" authorId="0" shapeId="0">
      <text>
        <t>Check: CF Ending Cash vs BS Cash 2026E
BS projections TBD - placeholder</t>
      </text>
    </comment>
    <comment ref="I45" authorId="0" shapeId="0">
      <text>
        <t>Check: CF Ending Cash vs BS Cash 2027E
BS projections TBD - placeholder</t>
      </text>
    </comment>
    <comment ref="C46" authorId="0" shapeId="0">
      <text>
        <t>Check: must be 0. Non-zero = model error.
Verifies Net Income on CF matches IS.</t>
      </text>
    </comment>
    <comment ref="D46" authorId="0" shapeId="0">
      <text>
        <t>Check: must be 0. Non-zero = model error.
Verifies Net Income on CF matches IS.</t>
      </text>
    </comment>
    <comment ref="E46" authorId="0" shapeId="0">
      <text>
        <t>Check: must be 0. Non-zero = model error.
Verifies Net Income on CF matches IS.</t>
      </text>
    </comment>
    <comment ref="F46" authorId="0" shapeId="0">
      <text>
        <t>Check: must be 0. Non-zero = model error.
Verifies Net Income on CF matches IS.</t>
      </text>
    </comment>
    <comment ref="G46" authorId="0" shapeId="0">
      <text>
        <t>Check: NI in CF vs IS Net Income 2025E - must be 0
Non-zero = model error</t>
      </text>
    </comment>
    <comment ref="H46" authorId="0" shapeId="0">
      <text>
        <t>Check: NI variance 2026E - projected NI uses CHOOSE, no IS link yet</t>
      </text>
    </comment>
    <comment ref="I46" authorId="0" shapeId="0">
      <text>
        <t>Check: NI variance 2027E - projected NI uses CHOOSE, no IS link yet</t>
      </text>
    </comment>
  </commentList>
</comments>
</file>

<file path=xl/comments/comment23.xml><?xml version="1.0" encoding="utf-8"?>
<comments xmlns="http://schemas.openxmlformats.org/spreadsheetml/2006/main">
  <authors>
    <author>Model Builder</author>
  </authors>
  <commentList>
    <comment ref="A1" authorId="0" shapeId="0">
      <text>
        <t>Debt Schedule consolidating all loan facilities. Source: Meiborg_Debt_Schedule_202511.xlsx</t>
      </text>
    </comment>
    <comment ref="D6" authorId="0" shapeId="0">
      <text>
        <t>Links to: _Wintrust balance summary</t>
      </text>
    </comment>
    <comment ref="E6" authorId="0" shapeId="0">
      <text>
        <t>Links to: _Wintrust payment summary</t>
      </text>
    </comment>
    <comment ref="D7" authorId="0" shapeId="0">
      <text>
        <t>Links to: _BMO balance summary</t>
      </text>
    </comment>
    <comment ref="E7" authorId="0" shapeId="0">
      <text>
        <t>Links to: _BMO payment summary</t>
      </text>
    </comment>
    <comment ref="D8" authorId="0" shapeId="0">
      <text>
        <t>Links to: _Webster balance summary</t>
      </text>
    </comment>
    <comment ref="E8" authorId="0" shapeId="0">
      <text>
        <t>Links to: _Webster payment summary</t>
      </text>
    </comment>
    <comment ref="D9" authorId="0" shapeId="0">
      <text>
        <t>Links to: _Paccar balance summary</t>
      </text>
    </comment>
    <comment ref="E9" authorId="0" shapeId="0">
      <text>
        <t>Links to: _Paccar payment summary</t>
      </text>
    </comment>
    <comment ref="D10" authorId="0" shapeId="0">
      <text>
        <t>Links to: _WellsFargo balance summary</t>
      </text>
    </comment>
    <comment ref="E10" authorId="0" shapeId="0">
      <text>
        <t>Links to: _WellsFargo payment summary</t>
      </text>
    </comment>
    <comment ref="D11" authorId="0" shapeId="0">
      <text>
        <t>Links to: _Huntington balance summary</t>
      </text>
    </comment>
    <comment ref="E11" authorId="0" shapeId="0">
      <text>
        <t>Links to: _Huntington payment summary</t>
      </text>
    </comment>
    <comment ref="D12" authorId="0" shapeId="0">
      <text>
        <t>Links to: _MiscEquip balance summary</t>
      </text>
    </comment>
    <comment ref="E12" authorId="0" shapeId="0">
      <text>
        <t>Links to: _MiscEquip payment summary</t>
      </text>
    </comment>
    <comment ref="D13" authorId="0" shapeId="0">
      <text>
        <t>Links to: _CCG balance summary</t>
      </text>
    </comment>
    <comment ref="E13" authorId="0" shapeId="0">
      <text>
        <t>Links to: _CCG payment summary</t>
      </text>
    </comment>
    <comment ref="D14" authorId="0" shapeId="0">
      <text>
        <t>Links to: _IntlFinancial balance summary</t>
      </text>
    </comment>
    <comment ref="E14" authorId="0" shapeId="0">
      <text>
        <t>Links to: _IntlFinancial payment summary</t>
      </text>
    </comment>
    <comment ref="D15" authorId="0" shapeId="0">
      <text>
        <t>Links to: _RegionalBanks balance summary</t>
      </text>
    </comment>
    <comment ref="E15" authorId="0" shapeId="0">
      <text>
        <t>Links to: _RegionalBanks payment summary</t>
      </text>
    </comment>
    <comment ref="D16" authorId="0" shapeId="0">
      <text>
        <t>Links to: _Peapack balance summary</t>
      </text>
    </comment>
    <comment ref="E16" authorId="0" shapeId="0">
      <text>
        <t>Links to: _Peapack payment summary</t>
      </text>
    </comment>
    <comment ref="D17" authorId="0" shapeId="0">
      <text>
        <t>Links to: _TriState balance summary</t>
      </text>
    </comment>
    <comment ref="E17" authorId="0" shapeId="0">
      <text>
        <t>Links to: _TriState payment summary</t>
      </text>
    </comment>
    <comment ref="D18" authorId="0" shapeId="0">
      <text>
        <t>Links to: _AtlanticUnion balance summary</t>
      </text>
    </comment>
    <comment ref="E18" authorId="0" shapeId="0">
      <text>
        <t>Links to: _AtlanticUnion payment summary</t>
      </text>
    </comment>
    <comment ref="D19" authorId="0" shapeId="0">
      <text>
        <t>Links to: _Balboa balance summary</t>
      </text>
    </comment>
    <comment ref="E19" authorId="0" shapeId="0">
      <text>
        <t>Links to: _Balboa payment summary</t>
      </text>
    </comment>
    <comment ref="D20" authorId="0" shapeId="0">
      <text>
        <t>Links to: _Constellation balance summary</t>
      </text>
    </comment>
    <comment ref="E20" authorId="0" shapeId="0">
      <text>
        <t>Links to: _Constellation payment summary</t>
      </text>
    </comment>
    <comment ref="D21" authorId="0" shapeId="0">
      <text>
        <t>Links to: _Commonwealth balance summary</t>
      </text>
    </comment>
    <comment ref="E21" authorId="0" shapeId="0">
      <text>
        <t>Links to: _Commonwealth payment summary</t>
      </text>
    </comment>
    <comment ref="D22" authorId="0" shapeId="0">
      <text>
        <t>Links to: _WinWin balance summary</t>
      </text>
    </comment>
    <comment ref="E22" authorId="0" shapeId="0">
      <text>
        <t>Links to: _WinWin payment summary</t>
      </text>
    </comment>
    <comment ref="C23" authorId="0" shapeId="0">
      <text>
        <t>Sum of rows 6-22: all lender loan counts</t>
      </text>
    </comment>
    <comment ref="D23" authorId="0" shapeId="0">
      <text>
        <t>Sum of rows 6-22: total debt balance</t>
      </text>
    </comment>
    <comment ref="E23" authorId="0" shapeId="0">
      <text>
        <t>Sum of rows 6-22: total monthly payments</t>
      </text>
    </comment>
    <comment ref="D27" authorId="0" shapeId="0">
      <text>
        <t>Source: data/loans.md - At Dec 31, 2023 gross LT debt</t>
      </text>
    </comment>
    <comment ref="E27" authorId="0" shapeId="0">
      <text>
        <t>Opening debt balance for 2025E = Prior year (2024A) closing balance from row 30</t>
      </text>
    </comment>
    <comment ref="F27" authorId="0" shapeId="0">
      <text>
        <t>Fixed: Uses actual 2025 ending debt from BS (Current + LT)
Prior formula was rolling forward from projected values.</t>
      </text>
    </comment>
    <comment ref="G27" authorId="0" shapeId="0">
      <text>
        <t>Opening debt balance for 2027E = Prior year (2026E) closing balance from row 30</t>
      </text>
    </comment>
    <comment ref="D28" authorId="0" shapeId="0">
      <text>
        <t>New debt issuance - update as deals close</t>
      </text>
    </comment>
    <comment ref="E28" authorId="0" shapeId="0">
      <text>
        <t>New debt issuance - update as deals close</t>
      </text>
    </comment>
    <comment ref="F28" authorId="0" shapeId="0">
      <text>
        <t>New debt issuance - update as deals close</t>
      </text>
    </comment>
    <comment ref="G28" authorId="0" shapeId="0">
      <text>
        <t>New debt issuance - update as deals close</t>
      </text>
    </comment>
    <comment ref="D29" authorId="0" shapeId="0">
      <text>
        <t>2024 principal estimated from YE balance change</t>
      </text>
    </comment>
    <comment ref="E29" authorId="0" shapeId="0">
      <text>
        <t>2025 principal estimated from amortization schedules</t>
      </text>
    </comment>
    <comment ref="D30" authorId="0" shapeId="0">
      <text>
        <t>Check: Opening + New - Principal</t>
      </text>
    </comment>
    <comment ref="E30" authorId="0" shapeId="0">
      <text>
        <t>Check: Opening + New - Principal</t>
      </text>
    </comment>
    <comment ref="F30" authorId="0" shapeId="0">
      <text>
        <t>Check: Opening + New - Principal</t>
      </text>
    </comment>
    <comment ref="G30" authorId="0" shapeId="0">
      <text>
        <t>Check: Opening + New - Principal</t>
      </text>
    </comment>
    <comment ref="D32" authorId="0" shapeId="0">
      <text>
        <t>Source: Reviewed Financial Statements 2024
Actual interest expense from IS row 51</t>
      </text>
    </comment>
    <comment ref="E32" authorId="0" shapeId="0">
      <text>
        <t>Source: Internal Financials YTD Nov 2025
Actual interest expense from IS row 51</t>
      </text>
    </comment>
    <comment ref="F32" authorId="0" shapeId="0">
      <text>
        <t>Projection: Interest = Average debt balance * 6.5% blended rate
Formula: (Opening + Closing)/2 * rate</t>
      </text>
    </comment>
    <comment ref="G32" authorId="0" shapeId="0">
      <text>
        <t>Projection: Interest = Average debt balance * 6.5% blended rate
Formula: (Opening + Closing)/2 * rate</t>
      </text>
    </comment>
    <comment ref="D36" authorId="0" shapeId="0">
      <text>
        <t>Source: data/loans.md - current maturities at Dec 31, 2024</t>
      </text>
    </comment>
    <comment ref="E36" authorId="0" shapeId="0">
      <text>
        <t>Debt maturing within 12 months of balance sheet date</t>
      </text>
    </comment>
    <comment ref="F36" authorId="0" shapeId="0">
      <text>
        <t>Current Portion: MIN of $10M assumption or Closing Debt balance.
Ensures Current Portion never exceeds total debt available.</t>
      </text>
    </comment>
    <comment ref="G36" authorId="0" shapeId="0">
      <text>
        <t>Current Portion: MIN of $9.5M assumption or Closing Debt balance.
Ensures Current Portion never exceeds total debt available.</t>
      </text>
    </comment>
    <comment ref="D37" authorId="0" shapeId="0">
      <text>
        <t>Source: data/loans.md - LT debt net at Dec 31, 2024</t>
      </text>
    </comment>
    <comment ref="E37" authorId="0" shapeId="0">
      <text>
        <t>Calculated: Total Debt - Current Portion</t>
      </text>
    </comment>
    <comment ref="F37" authorId="0" shapeId="0">
      <text>
        <t>Calculated: Total Debt - Current Portion</t>
      </text>
    </comment>
    <comment ref="G37" authorId="0" shapeId="0">
      <text>
        <t>Calculated: Total Debt - Current Portion</t>
      </text>
    </comment>
    <comment ref="D40" authorId="0" shapeId="0">
      <text>
        <t>Check: must be 0. Non-zero = model error.</t>
      </text>
    </comment>
    <comment ref="E40" authorId="0" shapeId="0">
      <text>
        <t>Check: must be 0. Non-zero = model error.</t>
      </text>
    </comment>
    <comment ref="F40" authorId="0" shapeId="0">
      <text>
        <t>Check: must be 0. Non-zero = model error.</t>
      </text>
    </comment>
    <comment ref="G40" authorId="0" shapeId="0">
      <text>
        <t>Check: must be 0. Non-zero = model error.</t>
      </text>
    </comment>
    <comment ref="C44" authorId="0" shapeId="0">
      <text>
        <t>All loans except RE (Commonwealth, WinWin)</t>
      </text>
    </comment>
    <comment ref="D49" authorId="0" shapeId="0">
      <text>
        <t>Absolute value for IS linking (IS shows as negative expense)</t>
      </text>
    </comment>
  </commentList>
</comments>
</file>

<file path=xl/comments/comment24.xml><?xml version="1.0" encoding="utf-8"?>
<comments xmlns="http://schemas.openxmlformats.org/spreadsheetml/2006/main">
  <authors>
    <author>Model Builder</author>
  </authors>
  <commentList>
    <comment ref="D3" authorId="0" shapeId="0">
      <text>
        <t>Driver: Scenario selector. 1=Downside, 2=Base, 3=Upside. Default=2 (Base).</t>
      </text>
    </comment>
    <comment ref="C8" authorId="0" shapeId="0">
      <text>
        <t>Driver: Revenue growth for 2026E downside scenario. Derived from historical analysis showing revenue volatility.</t>
      </text>
    </comment>
    <comment ref="D8" authorId="0" shapeId="0">
      <text>
        <t>Driver: Revenue growth for 2026E base case. Based on 5-year average historical growth.</t>
      </text>
    </comment>
    <comment ref="E8" authorId="0" shapeId="0">
      <text>
        <t>Driver: Revenue growth for 2026E upside scenario. Reflects strong market conditions.</t>
      </text>
    </comment>
    <comment ref="I8" authorId="0" shapeId="0">
      <text>
        <t>Projection: Downside=-3.0% / Base=5.0% / Upside=10.0%</t>
      </text>
    </comment>
    <comment ref="K8" authorId="0" shapeId="0">
      <text>
        <t>Source: Income Statement 2023 vs 2022 growth rate. Extracted: 2026-05-19</t>
      </text>
    </comment>
    <comment ref="L8" authorId="0" shapeId="0">
      <text>
        <t>Source: Income Statement 2024 vs 2023 growth rate. Extracted: 2026-05-19</t>
      </text>
    </comment>
    <comment ref="M8" authorId="0" shapeId="0">
      <text>
        <t>Source: Income Statement 2025 vs 2024 growth rate. Extracted: 2026-05-19</t>
      </text>
    </comment>
    <comment ref="F9" authorId="0" shapeId="0">
      <text>
        <t>Driver: Revenue growth for 2027E downside scenario. Flat growth in conservative case.</t>
      </text>
    </comment>
    <comment ref="G9" authorId="0" shapeId="0">
      <text>
        <t>Driver: Revenue growth for 2027E base case. Moderate improvement from 2026.</t>
      </text>
    </comment>
    <comment ref="H9" authorId="0" shapeId="0">
      <text>
        <t>Driver: Revenue growth for 2027E upside scenario. Strong expansion case.</t>
      </text>
    </comment>
    <comment ref="J9" authorId="0" shapeId="0">
      <text>
        <t>Projection: Downside=0.0% / Base=6.0% / Upside=12.0%</t>
      </text>
    </comment>
    <comment ref="C12" authorId="0" shapeId="0">
      <text>
        <t>Driver: COGS as % of Revenue.
Fixed from 80% to ~63% to match historical 2025 actual (68.5M COGS / 109.4M Revenue = 62.7%).
Downside=65% (margin compression), Base=63% (maintain), Upside=61% (improvement).</t>
      </text>
    </comment>
    <comment ref="D12" authorId="0" shapeId="0">
      <text>
        <t>Driver: COGS as % of Revenue.
Fixed from 80% to ~63% to match historical 2025 actual (68.5M COGS / 109.4M Revenue = 62.7%).
Downside=65% (margin compression), Base=63% (maintain), Upside=61% (improvement).</t>
      </text>
    </comment>
    <comment ref="E12" authorId="0" shapeId="0">
      <text>
        <t>Driver: COGS as % of Revenue.
Fixed from 80% to ~63% to match historical 2025 actual (68.5M COGS / 109.4M Revenue = 62.7%).
Downside=65% (margin compression), Base=63% (maintain), Upside=61% (improvement).</t>
      </text>
    </comment>
    <comment ref="F12" authorId="0" shapeId="0">
      <text>
        <t>Driver: COGS as % of Revenue.
Fixed from 80% to ~63% to match historical 2025 actual (68.5M COGS / 109.4M Revenue = 62.7%).
Downside=65% (margin compression), Base=63% (maintain), Upside=61% (improvement).</t>
      </text>
    </comment>
    <comment ref="G12" authorId="0" shapeId="0">
      <text>
        <t>Driver: COGS as % of Revenue.
Fixed from 80% to ~63% to match historical 2025 actual (68.5M COGS / 109.4M Revenue = 62.7%).
Downside=65% (margin compression), Base=63% (maintain), Upside=61% (improvement).</t>
      </text>
    </comment>
    <comment ref="H12" authorId="0" shapeId="0">
      <text>
        <t>Driver: COGS as % of Revenue.
Fixed from 80% to ~63% to match historical 2025 actual (68.5M COGS / 109.4M Revenue = 62.7%).
Downside=65% (margin compression), Base=63% (maintain), Upside=61% (improvement).</t>
      </text>
    </comment>
    <comment ref="I12" authorId="0" shapeId="0">
      <text>
        <t>Projection: Downside=82.0% / Base=80.0% / Upside=78.0%</t>
      </text>
    </comment>
    <comment ref="K12" authorId="0" shapeId="0">
      <text>
        <t>Source: Income Statement 2023 COGS/Revenue. Extracted: 2026-05-19</t>
      </text>
    </comment>
    <comment ref="L12" authorId="0" shapeId="0">
      <text>
        <t>Source: Income Statement 2024 COGS/Revenue. Extracted: 2026-05-19</t>
      </text>
    </comment>
    <comment ref="M12" authorId="0" shapeId="0">
      <text>
        <t>Source: Income Statement 2025 COGS/Revenue. Extracted: 2026-05-19</t>
      </text>
    </comment>
    <comment ref="C13" authorId="0" shapeId="0">
      <text>
        <t>Driver: OpEx growth downside. Higher cost inflation.</t>
      </text>
    </comment>
    <comment ref="D13" authorId="0" shapeId="0">
      <text>
        <t>Driver: OpEx growth base case. Inflationary growth.</t>
      </text>
    </comment>
    <comment ref="E13" authorId="0" shapeId="0">
      <text>
        <t>Driver: OpEx growth upside. Cost discipline scenario.</t>
      </text>
    </comment>
    <comment ref="I13" authorId="0" shapeId="0">
      <text>
        <t>Projection: Downside=5.0% / Base=3.0% / Upside=2.0%</t>
      </text>
    </comment>
    <comment ref="C14" authorId="0" shapeId="0">
      <text>
        <t>Driver: D&amp;A % for downside. Higher depreciation.</t>
      </text>
    </comment>
    <comment ref="D14" authorId="0" shapeId="0">
      <text>
        <t>Driver: D&amp;A % for base case. Historical average ~8-10%.</t>
      </text>
    </comment>
    <comment ref="E14" authorId="0" shapeId="0">
      <text>
        <t>Driver: D&amp;A % for upside. Lower asset intensity.</t>
      </text>
    </comment>
    <comment ref="I14" authorId="0" shapeId="0">
      <text>
        <t>Projection: Downside=10.0% / Base=9.0% / Upside=8.0%</t>
      </text>
    </comment>
    <comment ref="K14" authorId="0" shapeId="0">
      <text>
        <t>Source: D&amp;A / Gross PP&amp;E from 2023 BS/IS. Extracted: 2026-05-19</t>
      </text>
    </comment>
    <comment ref="L14" authorId="0" shapeId="0">
      <text>
        <t>Source: D&amp;A / Gross PP&amp;E from 2024 BS/IS. Extracted: 2026-05-19</t>
      </text>
    </comment>
    <comment ref="M14" authorId="0" shapeId="0">
      <text>
        <t>Source: D&amp;A / Gross PP&amp;E from 2025 BS/IS. Extracted: 2026-05-19</t>
      </text>
    </comment>
    <comment ref="C17" authorId="0" shapeId="0">
      <text>
        <t>Driver: DSO downside. Slower collections.</t>
      </text>
    </comment>
    <comment ref="D17" authorId="0" shapeId="0">
      <text>
        <t>Driver: DSO base case. Historical average 35-40 days.</t>
      </text>
    </comment>
    <comment ref="E17" authorId="0" shapeId="0">
      <text>
        <t>Driver: DSO upside. Improved collections.</t>
      </text>
    </comment>
    <comment ref="I17" authorId="0" shapeId="0">
      <text>
        <t>Projection: Downside=45 / Base=38 / Upside=32</t>
      </text>
    </comment>
    <comment ref="K17" authorId="0" shapeId="0">
      <text>
        <t>Source: AR / (Revenue/365) from 2023 BS/IS. Extracted: 2026-05-19</t>
      </text>
    </comment>
    <comment ref="L17" authorId="0" shapeId="0">
      <text>
        <t>Source: AR / (Revenue/365) from 2024 BS/IS. Extracted: 2026-05-19</t>
      </text>
    </comment>
    <comment ref="M17" authorId="0" shapeId="0">
      <text>
        <t>Source: AR / (Revenue/365) from 2025 BS/IS. Extracted: 2026-05-19</t>
      </text>
    </comment>
    <comment ref="C18" authorId="0" shapeId="0">
      <text>
        <t>Driver: DPO downside. Faster payment to vendors.</t>
      </text>
    </comment>
    <comment ref="D18" authorId="0" shapeId="0">
      <text>
        <t>Driver: DPO base case. Historical average 25-30 days.</t>
      </text>
    </comment>
    <comment ref="E18" authorId="0" shapeId="0">
      <text>
        <t>Driver: DPO upside. Extended payment terms.</t>
      </text>
    </comment>
    <comment ref="I18" authorId="0" shapeId="0">
      <text>
        <t>Projection: Downside=20 / Base=28 / Upside=35</t>
      </text>
    </comment>
    <comment ref="K18" authorId="0" shapeId="0">
      <text>
        <t>Source: AP / (COGS/365) from 2023 BS/IS. Extracted: 2026-05-19</t>
      </text>
    </comment>
    <comment ref="L18" authorId="0" shapeId="0">
      <text>
        <t>Source: AP / (COGS/365) from 2024 BS/IS. Extracted: 2026-05-19</t>
      </text>
    </comment>
    <comment ref="M18" authorId="0" shapeId="0">
      <text>
        <t>Source: AP / (COGS/365) from 2025 BS/IS. Extracted: 2026-05-19</t>
      </text>
    </comment>
    <comment ref="C19" authorId="0" shapeId="0">
      <text>
        <t>Driver: Inventory days downside. More stock on hand.</t>
      </text>
    </comment>
    <comment ref="D19" authorId="0" shapeId="0">
      <text>
        <t>Driver: Inventory days base case. Historical average 5-10 days.</t>
      </text>
    </comment>
    <comment ref="E19" authorId="0" shapeId="0">
      <text>
        <t>Driver: Inventory days upside. Lean inventory management.</t>
      </text>
    </comment>
    <comment ref="I19" authorId="0" shapeId="0">
      <text>
        <t>Projection: Downside=10 / Base=7 / Upside=5</t>
      </text>
    </comment>
    <comment ref="K19" authorId="0" shapeId="0">
      <text>
        <t>Source: Inventory / (COGS/365) from 2023. Extracted: 2026-05-19</t>
      </text>
    </comment>
    <comment ref="L19" authorId="0" shapeId="0">
      <text>
        <t>Source: Inventory / (COGS/365) from 2024. Extracted: 2026-05-19</t>
      </text>
    </comment>
    <comment ref="M19" authorId="0" shapeId="0">
      <text>
        <t>Source: Inventory / (COGS/365) from 2025. Extracted: 2026-05-19</t>
      </text>
    </comment>
    <comment ref="C22" authorId="0" shapeId="0">
      <text>
        <t>Driver: New debt rate downside. Higher rate environment.</t>
      </text>
    </comment>
    <comment ref="D22" authorId="0" shapeId="0">
      <text>
        <t>Driver: New debt rate base case. Current market rate ~8%.</t>
      </text>
    </comment>
    <comment ref="E22" authorId="0" shapeId="0">
      <text>
        <t>Driver: New debt rate upside. Favorable financing.</t>
      </text>
    </comment>
    <comment ref="I22" authorId="0" shapeId="0">
      <text>
        <t>Projection: Downside=10.0% / Base=8.0% / Upside=6.0%</t>
      </text>
    </comment>
    <comment ref="K22" authorId="0" shapeId="0">
      <text>
        <t>Source: Interest Exp / Avg Debt from 2023. Extracted: 2026-05-19</t>
      </text>
    </comment>
    <comment ref="L22" authorId="0" shapeId="0">
      <text>
        <t>Source: Interest Exp / Avg Debt from 2024. Extracted: 2026-05-19</t>
      </text>
    </comment>
    <comment ref="M22" authorId="0" shapeId="0">
      <text>
        <t>Source: Interest Exp / Avg Debt from 2025. Extracted: 2026-05-19</t>
      </text>
    </comment>
    <comment ref="I23" authorId="0" shapeId="0">
      <text>
        <t>Principal paydown per Debt Schedule amortization table.</t>
      </text>
    </comment>
    <comment ref="C26" authorId="0" shapeId="0">
      <text>
        <t>Driver: Maint CapEx % downside. Higher maintenance needs.</t>
      </text>
    </comment>
    <comment ref="D26" authorId="0" shapeId="0">
      <text>
        <t>Driver: Maint CapEx % base case. 3-4% historical average.</t>
      </text>
    </comment>
    <comment ref="E26" authorId="0" shapeId="0">
      <text>
        <t>Driver: Maint CapEx % upside. Lower maintenance needs.</t>
      </text>
    </comment>
    <comment ref="I26" authorId="0" shapeId="0">
      <text>
        <t>Projection: Downside=4.0% / Base=3.5% / Upside=3.0%</t>
      </text>
    </comment>
    <comment ref="C27" authorId="0" shapeId="0">
      <text>
        <t>Driver: Growth CapEx downside. No expansion.</t>
      </text>
    </comment>
    <comment ref="D27" authorId="0" shapeId="0">
      <text>
        <t>Driver: Growth CapEx base case. Moderate expansion.</t>
      </text>
    </comment>
    <comment ref="E27" authorId="0" shapeId="0">
      <text>
        <t>Driver: Growth CapEx upside. Aggressive expansion.</t>
      </text>
    </comment>
    <comment ref="I27" authorId="0" shapeId="0">
      <text>
        <t>Projection: Downside=$0 / Base=$2,000,000 / Upside=$5,000,000</t>
      </text>
    </comment>
    <comment ref="C30" authorId="0" shapeId="0">
      <text>
        <t>Driver: Tax rate. S-Corp pass-through = 0% at entity level.</t>
      </text>
    </comment>
    <comment ref="D30" authorId="0" shapeId="0">
      <text>
        <t>Driver: Tax rate. S-Corp pass-through = 0% at entity level.</t>
      </text>
    </comment>
    <comment ref="E30" authorId="0" shapeId="0">
      <text>
        <t>Driver: Tax rate. S-Corp pass-through = 0% at entity level.</t>
      </text>
    </comment>
    <comment ref="I30" authorId="0" shapeId="0">
      <text>
        <t>Projection: 0% S-Corp pass-through</t>
      </text>
    </comment>
    <comment ref="K30" authorId="0" shapeId="0">
      <text>
        <t>Source: S-Corp status. Pass-through taxation.</t>
      </text>
    </comment>
    <comment ref="C33" authorId="0" shapeId="0">
      <text>
        <t>Derived: Gross Margin = 1 - COGS%.
With COGS at 63% base case, Gross Margin = 37%.
Historical 2025 Gross Margin was ~33.4%.</t>
      </text>
    </comment>
    <comment ref="D33" authorId="0" shapeId="0">
      <text>
        <t>Derived: Gross Margin = 1 - COGS%.
With COGS at 63% base case, Gross Margin = 37%.
Historical 2025 Gross Margin was ~33.4%.</t>
      </text>
    </comment>
    <comment ref="E33" authorId="0" shapeId="0">
      <text>
        <t>Derived: Gross Margin = 1 - COGS%.
With COGS at 63% base case, Gross Margin = 37%.
Historical 2025 Gross Margin was ~33.4%.</t>
      </text>
    </comment>
    <comment ref="F33" authorId="0" shapeId="0">
      <text>
        <t>Derived: Gross Margin = 1 - COGS%.
With COGS at 63% base case, Gross Margin = 37%.
Historical 2025 Gross Margin was ~33.4%.</t>
      </text>
    </comment>
    <comment ref="G33" authorId="0" shapeId="0">
      <text>
        <t>Derived: Gross Margin = 1 - COGS%.
With COGS at 63% base case, Gross Margin = 37%.
Historical 2025 Gross Margin was ~33.4%.</t>
      </text>
    </comment>
    <comment ref="H33" authorId="0" shapeId="0">
      <text>
        <t>Derived: Gross Margin = 1 - COGS%.
With COGS at 63% base case, Gross Margin = 37%.
Historical 2025 Gross Margin was ~33.4%.</t>
      </text>
    </comment>
    <comment ref="I33" authorId="0" shapeId="0">
      <text>
        <t>Projection: Gross Margin = 1 - COGS%</t>
      </text>
    </comment>
    <comment ref="K33" authorId="0" shapeId="0">
      <text>
        <t>Source: Gross Profit / Revenue from 2023 IS. Extracted: 2026-05-19</t>
      </text>
    </comment>
    <comment ref="L33" authorId="0" shapeId="0">
      <text>
        <t>Source: Gross Profit / Revenue from 2024 IS. Extracted: 2026-05-19</t>
      </text>
    </comment>
    <comment ref="M33" authorId="0" shapeId="0">
      <text>
        <t>Source: Gross Profit / Revenue from 2025 IS. Extracted: 2026-05-19</t>
      </text>
    </comment>
    <comment ref="C34" authorId="0" shapeId="0">
      <text>
        <t>Driver: EBITDA Margin downside. Lower profitability.</t>
      </text>
    </comment>
    <comment ref="D34" authorId="0" shapeId="0">
      <text>
        <t>Driver: EBITDA Margin base case. Historical average ~10%.</t>
      </text>
    </comment>
    <comment ref="E34" authorId="0" shapeId="0">
      <text>
        <t>Driver: EBITDA Margin upside. Improved efficiency.</t>
      </text>
    </comment>
    <comment ref="I34" authorId="0" shapeId="0">
      <text>
        <t>Projection: Downside=8.0% / Base=10.0% / Upside=12.0%</t>
      </text>
    </comment>
    <comment ref="K34" authorId="0" shapeId="0">
      <text>
        <t>Source: EBITDA / Revenue from 2023 IS. Extracted: 2026-05-19</t>
      </text>
    </comment>
    <comment ref="L34" authorId="0" shapeId="0">
      <text>
        <t>Source: EBITDA / Revenue from 2024 IS. Extracted: 2026-05-19</t>
      </text>
    </comment>
    <comment ref="M34" authorId="0" shapeId="0">
      <text>
        <t>Source: EBITDA / Revenue from 2025 IS (est). Extracted: 2026-05-19</t>
      </text>
    </comment>
  </commentList>
</comments>
</file>

<file path=xl/comments/comment25.xml><?xml version="1.0" encoding="utf-8"?>
<comments xmlns="http://schemas.openxmlformats.org/spreadsheetml/2006/main">
  <authors>
    <author>Model Builder</author>
  </authors>
  <commentList>
    <comment ref="B1" authorId="0" shapeId="0">
      <text>
        <t>P&amp;L Detail: Granular account-level expansion of Income Statement.
Source: income_statement.md</t>
      </text>
    </comment>
    <comment ref="C6" authorId="0" shapeId="0">
      <text>
        <t>Source: income_statement.md, 2021A
Extracted: 2026-05-19</t>
      </text>
    </comment>
    <comment ref="D6" authorId="0" shapeId="0">
      <text>
        <t>Source: income_statement.md, 2022A
Extracted: 2026-05-19</t>
      </text>
    </comment>
    <comment ref="E6" authorId="0" shapeId="0">
      <text>
        <t>Source: income_statement.md, 2023A
Extracted: 2026-05-19</t>
      </text>
    </comment>
    <comment ref="F6" authorId="0" shapeId="0">
      <text>
        <t>Source: income_statement.md, 2024A
Extracted: 2026-05-19</t>
      </text>
    </comment>
    <comment ref="G6" authorId="0" shapeId="0">
      <text>
        <t>Source: income_statement.md, 2025A
Extracted: 2026-05-19</t>
      </text>
    </comment>
    <comment ref="C7" authorId="0" shapeId="0">
      <text>
        <t>Source: income_statement.md, 2021A
Extracted: 2026-05-19</t>
      </text>
    </comment>
    <comment ref="D7" authorId="0" shapeId="0">
      <text>
        <t>Source: income_statement.md, 2022A
Extracted: 2026-05-19</t>
      </text>
    </comment>
    <comment ref="E7" authorId="0" shapeId="0">
      <text>
        <t>Source: income_statement.md, 2023A
Extracted: 2026-05-19</t>
      </text>
    </comment>
    <comment ref="F7" authorId="0" shapeId="0">
      <text>
        <t>Source: income_statement.md, 2024A
Extracted: 2026-05-19</t>
      </text>
    </comment>
    <comment ref="G7" authorId="0" shapeId="0">
      <text>
        <t>Source: income_statement.md, 2025A
Extracted: 2026-05-19</t>
      </text>
    </comment>
    <comment ref="C8" authorId="0" shapeId="0">
      <text>
        <t>Source: income_statement.md, 2021A
Extracted: 2026-05-19</t>
      </text>
    </comment>
    <comment ref="D8" authorId="0" shapeId="0">
      <text>
        <t>Source: income_statement.md, 2022A
Extracted: 2026-05-19</t>
      </text>
    </comment>
    <comment ref="E8" authorId="0" shapeId="0">
      <text>
        <t>Source: income_statement.md, 2023A
Extracted: 2026-05-19</t>
      </text>
    </comment>
    <comment ref="F8" authorId="0" shapeId="0">
      <text>
        <t>Source: income_statement.md, 2024A
Extracted: 2026-05-19</t>
      </text>
    </comment>
    <comment ref="G8" authorId="0" shapeId="0">
      <text>
        <t>Source: income_statement.md, 2025A
Extracted: 2026-05-19</t>
      </text>
    </comment>
    <comment ref="C9" authorId="0" shapeId="0">
      <text>
        <t>Source: income_statement.md, 2021A
Extracted: 2026-05-19</t>
      </text>
    </comment>
    <comment ref="D9" authorId="0" shapeId="0">
      <text>
        <t>Source: income_statement.md, 2022A
Extracted: 2026-05-19</t>
      </text>
    </comment>
    <comment ref="E9" authorId="0" shapeId="0">
      <text>
        <t>Source: income_statement.md, 2023A
Extracted: 2026-05-19</t>
      </text>
    </comment>
    <comment ref="F9" authorId="0" shapeId="0">
      <text>
        <t>Source: income_statement.md, 2024A
Extracted: 2026-05-19</t>
      </text>
    </comment>
    <comment ref="G9" authorId="0" shapeId="0">
      <text>
        <t>Source: income_statement.md, 2025A
Extracted: 2026-05-19</t>
      </text>
    </comment>
    <comment ref="C10" authorId="0" shapeId="0">
      <text>
        <t>Source: income_statement.md, 2021A
Extracted: 2026-05-19</t>
      </text>
    </comment>
    <comment ref="D10" authorId="0" shapeId="0">
      <text>
        <t>Source: income_statement.md, 2022A
Extracted: 2026-05-19</t>
      </text>
    </comment>
    <comment ref="E10" authorId="0" shapeId="0">
      <text>
        <t>Source: income_statement.md, 2023A
Extracted: 2026-05-19</t>
      </text>
    </comment>
    <comment ref="F10" authorId="0" shapeId="0">
      <text>
        <t>Source: income_statement.md, 2024A
Extracted: 2026-05-19</t>
      </text>
    </comment>
    <comment ref="G10" authorId="0" shapeId="0">
      <text>
        <t>Source: income_statement.md, 2025A
Extracted: 2026-05-19</t>
      </text>
    </comment>
    <comment ref="C11" authorId="0" shapeId="0">
      <text>
        <t>Source: income_statement.md, 2021A
Extracted: 2026-05-19</t>
      </text>
    </comment>
    <comment ref="D11" authorId="0" shapeId="0">
      <text>
        <t>Source: income_statement.md, 2022A
Extracted: 2026-05-19</t>
      </text>
    </comment>
    <comment ref="E11" authorId="0" shapeId="0">
      <text>
        <t>Source: income_statement.md, 2023A
Extracted: 2026-05-19</t>
      </text>
    </comment>
    <comment ref="F11" authorId="0" shapeId="0">
      <text>
        <t>Source: income_statement.md, 2024A
Extracted: 2026-05-19</t>
      </text>
    </comment>
    <comment ref="G11" authorId="0" shapeId="0">
      <text>
        <t>Source: income_statement.md, 2025A
Extracted: 2026-05-19</t>
      </text>
    </comment>
    <comment ref="C12" authorId="0" shapeId="0">
      <text>
        <t>Source: income_statement.md, 2021A
Extracted: 2026-05-19</t>
      </text>
    </comment>
    <comment ref="D12" authorId="0" shapeId="0">
      <text>
        <t>Source: income_statement.md, 2022A
Extracted: 2026-05-19</t>
      </text>
    </comment>
    <comment ref="E12" authorId="0" shapeId="0">
      <text>
        <t>Source: income_statement.md, 2023A
Extracted: 2026-05-19</t>
      </text>
    </comment>
    <comment ref="F12" authorId="0" shapeId="0">
      <text>
        <t>Source: income_statement.md, 2024A
Extracted: 2026-05-19</t>
      </text>
    </comment>
    <comment ref="G12" authorId="0" shapeId="0">
      <text>
        <t>Source: income_statement.md, 2025A
Extracted: 2026-05-19</t>
      </text>
    </comment>
    <comment ref="C13" authorId="0" shapeId="0">
      <text>
        <t>Source: income_statement.md, 2021A
Extracted: 2026-05-19</t>
      </text>
    </comment>
    <comment ref="D13" authorId="0" shapeId="0">
      <text>
        <t>Source: income_statement.md, 2022A
Extracted: 2026-05-19</t>
      </text>
    </comment>
    <comment ref="E13" authorId="0" shapeId="0">
      <text>
        <t>Source: income_statement.md, 2023A
Extracted: 2026-05-19</t>
      </text>
    </comment>
    <comment ref="F13" authorId="0" shapeId="0">
      <text>
        <t>Source: income_statement.md, 2024A
Extracted: 2026-05-19</t>
      </text>
    </comment>
    <comment ref="G13" authorId="0" shapeId="0">
      <text>
        <t>Source: income_statement.md, 2025A
Extracted: 2026-05-19</t>
      </text>
    </comment>
    <comment ref="B14" authorId="0" shapeId="0">
      <text>
        <t>Sum of rows 6-13: All revenue line items</t>
      </text>
    </comment>
    <comment ref="C17" authorId="0" shapeId="0">
      <text>
        <t>Source: income_statement.md, 2021A
Extracted: 2026-05-19</t>
      </text>
    </comment>
    <comment ref="D17" authorId="0" shapeId="0">
      <text>
        <t>Source: income_statement.md, 2022A
Extracted: 2026-05-19</t>
      </text>
    </comment>
    <comment ref="E17" authorId="0" shapeId="0">
      <text>
        <t>Source: income_statement.md, 2023A
Extracted: 2026-05-19</t>
      </text>
    </comment>
    <comment ref="F17" authorId="0" shapeId="0">
      <text>
        <t>Source: income_statement.md, 2024A
Extracted: 2026-05-19</t>
      </text>
    </comment>
    <comment ref="G17" authorId="0" shapeId="0">
      <text>
        <t>Source: income_statement.md, 2025A
Extracted: 2026-05-19</t>
      </text>
    </comment>
    <comment ref="C18" authorId="0" shapeId="0">
      <text>
        <t>Source: income_statement.md, 2021A
Extracted: 2026-05-19</t>
      </text>
    </comment>
    <comment ref="D18" authorId="0" shapeId="0">
      <text>
        <t>Source: income_statement.md, 2022A
Extracted: 2026-05-19</t>
      </text>
    </comment>
    <comment ref="E18" authorId="0" shapeId="0">
      <text>
        <t>Source: income_statement.md, 2023A
Extracted: 2026-05-19</t>
      </text>
    </comment>
    <comment ref="F18" authorId="0" shapeId="0">
      <text>
        <t>Source: income_statement.md, 2024A
Extracted: 2026-05-19</t>
      </text>
    </comment>
    <comment ref="G18" authorId="0" shapeId="0">
      <text>
        <t>Source: income_statement.md, 2025A
Extracted: 2026-05-19</t>
      </text>
    </comment>
    <comment ref="C19" authorId="0" shapeId="0">
      <text>
        <t>Source: income_statement.md, 2021A
Extracted: 2026-05-19</t>
      </text>
    </comment>
    <comment ref="D19" authorId="0" shapeId="0">
      <text>
        <t>Source: income_statement.md, 2022A
Extracted: 2026-05-19</t>
      </text>
    </comment>
    <comment ref="E19" authorId="0" shapeId="0">
      <text>
        <t>Source: income_statement.md, 2023A
Extracted: 2026-05-19</t>
      </text>
    </comment>
    <comment ref="F19" authorId="0" shapeId="0">
      <text>
        <t>Source: income_statement.md, 2024A
Extracted: 2026-05-19</t>
      </text>
    </comment>
    <comment ref="G19" authorId="0" shapeId="0">
      <text>
        <t>Source: income_statement.md, 2025A
Extracted: 2026-05-19</t>
      </text>
    </comment>
    <comment ref="C20" authorId="0" shapeId="0">
      <text>
        <t>Source: income_statement.md, 2021A
Extracted: 2026-05-19</t>
      </text>
    </comment>
    <comment ref="D20" authorId="0" shapeId="0">
      <text>
        <t>Source: income_statement.md, 2022A
Extracted: 2026-05-19</t>
      </text>
    </comment>
    <comment ref="E20" authorId="0" shapeId="0">
      <text>
        <t>Source: income_statement.md, 2023A
Extracted: 2026-05-19</t>
      </text>
    </comment>
    <comment ref="F20" authorId="0" shapeId="0">
      <text>
        <t>Source: income_statement.md, 2024A
Extracted: 2026-05-19</t>
      </text>
    </comment>
    <comment ref="G20" authorId="0" shapeId="0">
      <text>
        <t>Source: income_statement.md, 2025A
Extracted: 2026-05-19</t>
      </text>
    </comment>
    <comment ref="C21" authorId="0" shapeId="0">
      <text>
        <t>Source: income_statement.md, 2021A
Extracted: 2026-05-19</t>
      </text>
    </comment>
    <comment ref="D21" authorId="0" shapeId="0">
      <text>
        <t>Source: income_statement.md, 2022A
Extracted: 2026-05-19</t>
      </text>
    </comment>
    <comment ref="E21" authorId="0" shapeId="0">
      <text>
        <t>Source: income_statement.md, 2023A
Extracted: 2026-05-19</t>
      </text>
    </comment>
    <comment ref="F21" authorId="0" shapeId="0">
      <text>
        <t>Source: income_statement.md, 2024A
Extracted: 2026-05-19</t>
      </text>
    </comment>
    <comment ref="G21" authorId="0" shapeId="0">
      <text>
        <t>Source: income_statement.md, 2025A
Extracted: 2026-05-19</t>
      </text>
    </comment>
    <comment ref="C22" authorId="0" shapeId="0">
      <text>
        <t>Source: income_statement.md, 2021A
Extracted: 2026-05-19</t>
      </text>
    </comment>
    <comment ref="D22" authorId="0" shapeId="0">
      <text>
        <t>Source: income_statement.md, 2022A
Extracted: 2026-05-19</t>
      </text>
    </comment>
    <comment ref="E22" authorId="0" shapeId="0">
      <text>
        <t>Source: income_statement.md, 2023A
Extracted: 2026-05-19</t>
      </text>
    </comment>
    <comment ref="F22" authorId="0" shapeId="0">
      <text>
        <t>Source: income_statement.md, 2024A
Extracted: 2026-05-19</t>
      </text>
    </comment>
    <comment ref="G22" authorId="0" shapeId="0">
      <text>
        <t>Source: income_statement.md, 2025A
Extracted: 2026-05-19</t>
      </text>
    </comment>
    <comment ref="C23" authorId="0" shapeId="0">
      <text>
        <t>Source: income_statement.md, 2021A
Extracted: 2026-05-19</t>
      </text>
    </comment>
    <comment ref="D23" authorId="0" shapeId="0">
      <text>
        <t>Source: income_statement.md, 2022A
Extracted: 2026-05-19</t>
      </text>
    </comment>
    <comment ref="E23" authorId="0" shapeId="0">
      <text>
        <t>Source: income_statement.md, 2023A
Extracted: 2026-05-19</t>
      </text>
    </comment>
    <comment ref="F23" authorId="0" shapeId="0">
      <text>
        <t>Source: income_statement.md, 2024A
Extracted: 2026-05-19</t>
      </text>
    </comment>
    <comment ref="G23" authorId="0" shapeId="0">
      <text>
        <t>Source: income_statement.md, 2025A
Extracted: 2026-05-19</t>
      </text>
    </comment>
    <comment ref="C24" authorId="0" shapeId="0">
      <text>
        <t>Source: income_statement.md, 2021A
Extracted: 2026-05-19</t>
      </text>
    </comment>
    <comment ref="D24" authorId="0" shapeId="0">
      <text>
        <t>Source: income_statement.md, 2022A
Extracted: 2026-05-19</t>
      </text>
    </comment>
    <comment ref="E24" authorId="0" shapeId="0">
      <text>
        <t>Source: income_statement.md, 2023A
Extracted: 2026-05-19</t>
      </text>
    </comment>
    <comment ref="F24" authorId="0" shapeId="0">
      <text>
        <t>Source: income_statement.md, 2024A
Extracted: 2026-05-19</t>
      </text>
    </comment>
    <comment ref="G24" authorId="0" shapeId="0">
      <text>
        <t>Source: income_statement.md, 2025A
Extracted: 2026-05-19</t>
      </text>
    </comment>
    <comment ref="C25" authorId="0" shapeId="0">
      <text>
        <t>Source: income_statement.md, 2021A
Extracted: 2026-05-19</t>
      </text>
    </comment>
    <comment ref="D25" authorId="0" shapeId="0">
      <text>
        <t>Source: income_statement.md, 2022A
Extracted: 2026-05-19</t>
      </text>
    </comment>
    <comment ref="E25" authorId="0" shapeId="0">
      <text>
        <t>Source: income_statement.md, 2023A
Extracted: 2026-05-19</t>
      </text>
    </comment>
    <comment ref="F25" authorId="0" shapeId="0">
      <text>
        <t>Source: income_statement.md, 2024A
Extracted: 2026-05-19</t>
      </text>
    </comment>
    <comment ref="G25" authorId="0" shapeId="0">
      <text>
        <t>Source: income_statement.md, 2025A
Extracted: 2026-05-19</t>
      </text>
    </comment>
    <comment ref="C26" authorId="0" shapeId="0">
      <text>
        <t>Source: income_statement.md, 2021A
Extracted: 2026-05-19</t>
      </text>
    </comment>
    <comment ref="D26" authorId="0" shapeId="0">
      <text>
        <t>Source: income_statement.md, 2022A
Extracted: 2026-05-19</t>
      </text>
    </comment>
    <comment ref="E26" authorId="0" shapeId="0">
      <text>
        <t>Source: income_statement.md, 2023A
Extracted: 2026-05-19</t>
      </text>
    </comment>
    <comment ref="F26" authorId="0" shapeId="0">
      <text>
        <t>Source: income_statement.md, 2024A
Extracted: 2026-05-19</t>
      </text>
    </comment>
    <comment ref="G26" authorId="0" shapeId="0">
      <text>
        <t>Source: income_statement.md, 2025A
Extracted: 2026-05-19</t>
      </text>
    </comment>
    <comment ref="C27" authorId="0" shapeId="0">
      <text>
        <t>Source: income_statement.md, 2021A
Extracted: 2026-05-19</t>
      </text>
    </comment>
    <comment ref="D27" authorId="0" shapeId="0">
      <text>
        <t>Source: income_statement.md, 2022A
Extracted: 2026-05-19</t>
      </text>
    </comment>
    <comment ref="E27" authorId="0" shapeId="0">
      <text>
        <t>Source: income_statement.md, 2023A
Extracted: 2026-05-19</t>
      </text>
    </comment>
    <comment ref="F27" authorId="0" shapeId="0">
      <text>
        <t>Source: income_statement.md, 2024A
Extracted: 2026-05-19</t>
      </text>
    </comment>
    <comment ref="G27" authorId="0" shapeId="0">
      <text>
        <t>Source: income_statement.md, 2025A
Extracted: 2026-05-19</t>
      </text>
    </comment>
    <comment ref="C28" authorId="0" shapeId="0">
      <text>
        <t>Source: income_statement.md, 2021A
Extracted: 2026-05-19</t>
      </text>
    </comment>
    <comment ref="D28" authorId="0" shapeId="0">
      <text>
        <t>Source: income_statement.md, 2022A
Extracted: 2026-05-19</t>
      </text>
    </comment>
    <comment ref="E28" authorId="0" shapeId="0">
      <text>
        <t>Source: income_statement.md, 2023A
Extracted: 2026-05-19</t>
      </text>
    </comment>
    <comment ref="F28" authorId="0" shapeId="0">
      <text>
        <t>Source: income_statement.md, 2024A
Extracted: 2026-05-19</t>
      </text>
    </comment>
    <comment ref="G28" authorId="0" shapeId="0">
      <text>
        <t>Source: income_statement.md, 2025A
Extracted: 2026-05-19</t>
      </text>
    </comment>
    <comment ref="B29" authorId="0" shapeId="0">
      <text>
        <t>Sum of rows 17-28: All COGS line items</t>
      </text>
    </comment>
    <comment ref="B30" authorId="0" shapeId="0">
      <text>
        <t>Gross Profit = Total Revenue + Total COGS (COGS is negative)</t>
      </text>
    </comment>
    <comment ref="C33" authorId="0" shapeId="0">
      <text>
        <t>Not separately reported in 2021A. May be included in other line items.</t>
      </text>
    </comment>
    <comment ref="D33" authorId="0" shapeId="0">
      <text>
        <t>Not separately reported in 2022A. May be included in other line items.</t>
      </text>
    </comment>
    <comment ref="E33" authorId="0" shapeId="0">
      <text>
        <t>Not separately reported in 2023A. May be included in other line items.</t>
      </text>
    </comment>
    <comment ref="F33" authorId="0" shapeId="0">
      <text>
        <t>Not separately reported in 2024A. May be included in other line items.</t>
      </text>
    </comment>
    <comment ref="G33" authorId="0" shapeId="0">
      <text>
        <t>Source: income_statement.md, 2025A
Extracted: 2026-05-19</t>
      </text>
    </comment>
    <comment ref="C34" authorId="0" shapeId="0">
      <text>
        <t>Source: income_statement.md, 2021A
Extracted: 2026-05-19</t>
      </text>
    </comment>
    <comment ref="D34" authorId="0" shapeId="0">
      <text>
        <t>Source: income_statement.md, 2022A
Extracted: 2026-05-19</t>
      </text>
    </comment>
    <comment ref="E34" authorId="0" shapeId="0">
      <text>
        <t>Source: income_statement.md, 2023A
Extracted: 2026-05-19</t>
      </text>
    </comment>
    <comment ref="F34" authorId="0" shapeId="0">
      <text>
        <t>Source: income_statement.md, 2024A
Extracted: 2026-05-19</t>
      </text>
    </comment>
    <comment ref="G34" authorId="0" shapeId="0">
      <text>
        <t>Source: income_statement.md, 2025A
Extracted: 2026-05-19</t>
      </text>
    </comment>
    <comment ref="C35" authorId="0" shapeId="0">
      <text>
        <t>Not separately reported in 2021A. May be included in other line items.</t>
      </text>
    </comment>
    <comment ref="D35" authorId="0" shapeId="0">
      <text>
        <t>Not separately reported in 2022A. May be included in other line items.</t>
      </text>
    </comment>
    <comment ref="E35" authorId="0" shapeId="0">
      <text>
        <t>Not separately reported in 2023A. May be included in other line items.</t>
      </text>
    </comment>
    <comment ref="F35" authorId="0" shapeId="0">
      <text>
        <t>Not separately reported in 2024A. May be included in other line items.</t>
      </text>
    </comment>
    <comment ref="G35" authorId="0" shapeId="0">
      <text>
        <t>Source: income_statement.md, 2025A
Extracted: 2026-05-19</t>
      </text>
    </comment>
    <comment ref="C36" authorId="0" shapeId="0">
      <text>
        <t>Not separately reported in 2021A. May be included in other line items.</t>
      </text>
    </comment>
    <comment ref="D36" authorId="0" shapeId="0">
      <text>
        <t>Not separately reported in 2022A. May be included in other line items.</t>
      </text>
    </comment>
    <comment ref="E36" authorId="0" shapeId="0">
      <text>
        <t>Not separately reported in 2023A. May be included in other line items.</t>
      </text>
    </comment>
    <comment ref="F36" authorId="0" shapeId="0">
      <text>
        <t>Not separately reported in 2024A. May be included in other line items.</t>
      </text>
    </comment>
    <comment ref="G36" authorId="0" shapeId="0">
      <text>
        <t>Source: income_statement.md, 2025A
Extracted: 2026-05-19</t>
      </text>
    </comment>
    <comment ref="C37" authorId="0" shapeId="0">
      <text>
        <t>Not separately reported in 2021A. May be included in other line items.</t>
      </text>
    </comment>
    <comment ref="D37" authorId="0" shapeId="0">
      <text>
        <t>Not separately reported in 2022A. May be included in other line items.</t>
      </text>
    </comment>
    <comment ref="E37" authorId="0" shapeId="0">
      <text>
        <t>Not separately reported in 2023A. May be included in other line items.</t>
      </text>
    </comment>
    <comment ref="F37" authorId="0" shapeId="0">
      <text>
        <t>Not separately reported in 2024A. May be included in other line items.</t>
      </text>
    </comment>
    <comment ref="G37" authorId="0" shapeId="0">
      <text>
        <t>Source: income_statement.md, 2025A
Extracted: 2026-05-19</t>
      </text>
    </comment>
    <comment ref="C38" authorId="0" shapeId="0">
      <text>
        <t>Not separately reported in 2021A. May be included in other line items.</t>
      </text>
    </comment>
    <comment ref="D38" authorId="0" shapeId="0">
      <text>
        <t>Not separately reported in 2022A. May be included in other line items.</t>
      </text>
    </comment>
    <comment ref="E38" authorId="0" shapeId="0">
      <text>
        <t>Not separately reported in 2023A. May be included in other line items.</t>
      </text>
    </comment>
    <comment ref="F38" authorId="0" shapeId="0">
      <text>
        <t>Not separately reported in 2024A. May be included in other line items.</t>
      </text>
    </comment>
    <comment ref="G38" authorId="0" shapeId="0">
      <text>
        <t>Source: income_statement.md, 2025A
Extracted: 2026-05-19</t>
      </text>
    </comment>
    <comment ref="C39" authorId="0" shapeId="0">
      <text>
        <t>Not separately reported in 2021A. May be included in other line items.</t>
      </text>
    </comment>
    <comment ref="D39" authorId="0" shapeId="0">
      <text>
        <t>Not separately reported in 2022A. May be included in other line items.</t>
      </text>
    </comment>
    <comment ref="E39" authorId="0" shapeId="0">
      <text>
        <t>Not separately reported in 2023A. May be included in other line items.</t>
      </text>
    </comment>
    <comment ref="F39" authorId="0" shapeId="0">
      <text>
        <t>Not separately reported in 2024A. May be included in other line items.</t>
      </text>
    </comment>
    <comment ref="G39" authorId="0" shapeId="0">
      <text>
        <t>Source: income_statement.md, 2025A
Extracted: 2026-05-19</t>
      </text>
    </comment>
    <comment ref="C40" authorId="0" shapeId="0">
      <text>
        <t>Not separately reported in 2021A. May be included in other line items.</t>
      </text>
    </comment>
    <comment ref="D40" authorId="0" shapeId="0">
      <text>
        <t>Not separately reported in 2022A. May be included in other line items.</t>
      </text>
    </comment>
    <comment ref="E40" authorId="0" shapeId="0">
      <text>
        <t>Not separately reported in 2023A. May be included in other line items.</t>
      </text>
    </comment>
    <comment ref="F40" authorId="0" shapeId="0">
      <text>
        <t>Not separately reported in 2024A. May be included in other line items.</t>
      </text>
    </comment>
    <comment ref="G40" authorId="0" shapeId="0">
      <text>
        <t>Source: income_statement.md, 2025A
Extracted: 2026-05-19</t>
      </text>
    </comment>
    <comment ref="C41" authorId="0" shapeId="0">
      <text>
        <t>Not separately reported in 2021A. May be included in other line items.</t>
      </text>
    </comment>
    <comment ref="D41" authorId="0" shapeId="0">
      <text>
        <t>Not separately reported in 2022A. May be included in other line items.</t>
      </text>
    </comment>
    <comment ref="E41" authorId="0" shapeId="0">
      <text>
        <t>Not separately reported in 2023A. May be included in other line items.</t>
      </text>
    </comment>
    <comment ref="F41" authorId="0" shapeId="0">
      <text>
        <t>Not separately reported in 2024A. May be included in other line items.</t>
      </text>
    </comment>
    <comment ref="G41" authorId="0" shapeId="0">
      <text>
        <t>Source: income_statement.md, 2025A
Extracted: 2026-05-19</t>
      </text>
    </comment>
    <comment ref="C42" authorId="0" shapeId="0">
      <text>
        <t>Not separately reported in 2021A. May be included in other line items.</t>
      </text>
    </comment>
    <comment ref="D42" authorId="0" shapeId="0">
      <text>
        <t>Not separately reported in 2022A. May be included in other line items.</t>
      </text>
    </comment>
    <comment ref="E42" authorId="0" shapeId="0">
      <text>
        <t>Not separately reported in 2023A. May be included in other line items.</t>
      </text>
    </comment>
    <comment ref="F42" authorId="0" shapeId="0">
      <text>
        <t>Not separately reported in 2024A. May be included in other line items.</t>
      </text>
    </comment>
    <comment ref="G42" authorId="0" shapeId="0">
      <text>
        <t>Source: income_statement.md, 2025A
Extracted: 2026-05-19</t>
      </text>
    </comment>
    <comment ref="C43" authorId="0" shapeId="0">
      <text>
        <t>Not separately reported in 2021A. May be included in other line items.</t>
      </text>
    </comment>
    <comment ref="D43" authorId="0" shapeId="0">
      <text>
        <t>Not separately reported in 2022A. May be included in other line items.</t>
      </text>
    </comment>
    <comment ref="E43" authorId="0" shapeId="0">
      <text>
        <t>Not separately reported in 2023A. May be included in other line items.</t>
      </text>
    </comment>
    <comment ref="F43" authorId="0" shapeId="0">
      <text>
        <t>Not separately reported in 2024A. May be included in other line items.</t>
      </text>
    </comment>
    <comment ref="G43" authorId="0" shapeId="0">
      <text>
        <t>Source: income_statement.md, 2025A
Extracted: 2026-05-19</t>
      </text>
    </comment>
    <comment ref="C44" authorId="0" shapeId="0">
      <text>
        <t>Not separately reported in 2021A. May be included in other line items.</t>
      </text>
    </comment>
    <comment ref="D44" authorId="0" shapeId="0">
      <text>
        <t>Not separately reported in 2022A. May be included in other line items.</t>
      </text>
    </comment>
    <comment ref="E44" authorId="0" shapeId="0">
      <text>
        <t>Not separately reported in 2023A. May be included in other line items.</t>
      </text>
    </comment>
    <comment ref="F44" authorId="0" shapeId="0">
      <text>
        <t>Not separately reported in 2024A. May be included in other line items.</t>
      </text>
    </comment>
    <comment ref="G44" authorId="0" shapeId="0">
      <text>
        <t>Source: income_statement.md, 2025A
Extracted: 2026-05-19</t>
      </text>
    </comment>
    <comment ref="B45" authorId="0" shapeId="0">
      <text>
        <t>Sum of rows 33-44: All OpEx line items</t>
      </text>
    </comment>
    <comment ref="B46" authorId="0" shapeId="0">
      <text>
        <t>EBIT = Gross Profit + Total OpEx (OpEx is negative)</t>
      </text>
    </comment>
    <comment ref="C49" authorId="0" shapeId="0">
      <text>
        <t>Source: income_statement.md, 2021A
Extracted: 2026-05-19</t>
      </text>
    </comment>
    <comment ref="D49" authorId="0" shapeId="0">
      <text>
        <t>Source: income_statement.md, 2022A
Extracted: 2026-05-19</t>
      </text>
    </comment>
    <comment ref="E49" authorId="0" shapeId="0">
      <text>
        <t>Source: income_statement.md, 2023A
Extracted: 2026-05-19</t>
      </text>
    </comment>
    <comment ref="F49" authorId="0" shapeId="0">
      <text>
        <t>Source: income_statement.md, 2024A
Extracted: 2026-05-19</t>
      </text>
    </comment>
    <comment ref="G49" authorId="0" shapeId="0">
      <text>
        <t>Source: income_statement.md, 2025A
Extracted: 2026-05-19</t>
      </text>
    </comment>
    <comment ref="C50" authorId="0" shapeId="0">
      <text>
        <t>Source: income_statement.md, 2021A
Extracted: 2026-05-19</t>
      </text>
    </comment>
    <comment ref="D50" authorId="0" shapeId="0">
      <text>
        <t>Source: income_statement.md, 2022A
Extracted: 2026-05-19</t>
      </text>
    </comment>
    <comment ref="E50" authorId="0" shapeId="0">
      <text>
        <t>Source: income_statement.md, 2023A
Extracted: 2026-05-19</t>
      </text>
    </comment>
    <comment ref="F50" authorId="0" shapeId="0">
      <text>
        <t>Source: income_statement.md, 2024A
Extracted: 2026-05-19</t>
      </text>
    </comment>
    <comment ref="G50" authorId="0" shapeId="0">
      <text>
        <t>Source: income_statement.md, 2025A
Extracted: 2026-05-19</t>
      </text>
    </comment>
    <comment ref="C51" authorId="0" shapeId="0">
      <text>
        <t>Source: income_statement.md, 2021A
Extracted: 2026-05-19</t>
      </text>
    </comment>
    <comment ref="D51" authorId="0" shapeId="0">
      <text>
        <t>Source: income_statement.md, 2022A
Extracted: 2026-05-19</t>
      </text>
    </comment>
    <comment ref="E51" authorId="0" shapeId="0">
      <text>
        <t>Source: income_statement.md, 2023A
Extracted: 2026-05-19</t>
      </text>
    </comment>
    <comment ref="F51" authorId="0" shapeId="0">
      <text>
        <t>Source: income_statement.md, 2024A
Extracted: 2026-05-19</t>
      </text>
    </comment>
    <comment ref="G51" authorId="0" shapeId="0">
      <text>
        <t>Source: income_statement.md, 2025A
Extracted: 2026-05-19</t>
      </text>
    </comment>
    <comment ref="C52" authorId="0" shapeId="0">
      <text>
        <t>Source: income_statement.md, 2021A
Extracted: 2026-05-19</t>
      </text>
    </comment>
    <comment ref="D52" authorId="0" shapeId="0">
      <text>
        <t>Source: income_statement.md, 2022A
Extracted: 2026-05-19</t>
      </text>
    </comment>
    <comment ref="E52" authorId="0" shapeId="0">
      <text>
        <t>Source: income_statement.md, 2023A
Extracted: 2026-05-19</t>
      </text>
    </comment>
    <comment ref="F52" authorId="0" shapeId="0">
      <text>
        <t>Source: income_statement.md, 2024A
Extracted: 2026-05-19</t>
      </text>
    </comment>
    <comment ref="G52" authorId="0" shapeId="0">
      <text>
        <t>Source: income_statement.md, 2025A
Extracted: 2026-05-19</t>
      </text>
    </comment>
    <comment ref="C53" authorId="0" shapeId="0">
      <text>
        <t>Source: income_statement.md, 2021A
Extracted: 2026-05-19</t>
      </text>
    </comment>
    <comment ref="D53" authorId="0" shapeId="0">
      <text>
        <t>Source: income_statement.md, 2022A
Extracted: 2026-05-19</t>
      </text>
    </comment>
    <comment ref="E53" authorId="0" shapeId="0">
      <text>
        <t>Source: income_statement.md, 2023A
Extracted: 2026-05-19</t>
      </text>
    </comment>
    <comment ref="F53" authorId="0" shapeId="0">
      <text>
        <t>Source: income_statement.md, 2024A
Extracted: 2026-05-19</t>
      </text>
    </comment>
    <comment ref="G53" authorId="0" shapeId="0">
      <text>
        <t>Source: income_statement.md, 2025A
Extracted: 2026-05-19</t>
      </text>
    </comment>
    <comment ref="B54" authorId="0" shapeId="0">
      <text>
        <t>Sum of rows 49-53: All other income/expense items</t>
      </text>
    </comment>
    <comment ref="B57" authorId="0" shapeId="0">
      <text>
        <t>EBT = EBIT + Total Other Income/Expense</t>
      </text>
    </comment>
    <comment ref="B58" authorId="0" shapeId="0">
      <text>
        <t>S-Corp pass-through entity; minimal/no corporate tax.</t>
      </text>
    </comment>
    <comment ref="B59" authorId="0" shapeId="0">
      <text>
        <t>Net Income = EBT + Tax (Tax is negative or zero)</t>
      </text>
    </comment>
    <comment ref="B62" authorId="0" shapeId="0">
      <text>
        <t>Check: must be 0. Non-zero indicates P&amp;L Detail does not tie to Income Statement.</t>
      </text>
    </comment>
    <comment ref="B63" authorId="0" shapeId="0">
      <text>
        <t>Check: must be 0. Non-zero indicates revenue does not tie.</t>
      </text>
    </comment>
    <comment ref="B64" authorId="0" shapeId="0">
      <text>
        <t>Check: must be 0. Non-zero indicates COGS does not tie.</t>
      </text>
    </comment>
    <comment ref="B65" authorId="0" shapeId="0">
      <text>
        <t>Check: must be 0. Non-zero indicates OpEx does not tie.</t>
      </text>
    </comment>
  </commentList>
</comments>
</file>

<file path=xl/comments/comment26.xml><?xml version="1.0" encoding="utf-8"?>
<comments xmlns="http://schemas.openxmlformats.org/spreadsheetml/2006/main">
  <authors>
    <author>Model Builder</author>
  </authors>
  <commentList>
    <comment ref="B1" authorId="0" shapeId="0">
      <text>
        <t>Quality of Earnings analysis for due diligence. Reconciles reported EBITDA to adjusted EBITDA.</t>
      </text>
    </comment>
    <comment ref="B5" authorId="0" shapeId="0">
      <text>
        <t>Links to: Income Statement row 12 - Total Revenue</t>
      </text>
    </comment>
    <comment ref="C5" authorId="0" shapeId="0">
      <text>
        <t>Links to: Income Statement row 12 - Total Revenue</t>
      </text>
    </comment>
    <comment ref="D5" authorId="0" shapeId="0">
      <text>
        <t>Links to: Income Statement row 12 - Total Revenue</t>
      </text>
    </comment>
    <comment ref="E5" authorId="0" shapeId="0">
      <text>
        <t>Links to: Income Statement row 12 - Total Revenue</t>
      </text>
    </comment>
    <comment ref="F5" authorId="0" shapeId="0">
      <text>
        <t>Links to: Income Statement row 12 - Total Revenue</t>
      </text>
    </comment>
    <comment ref="G5" authorId="0" shapeId="0">
      <text>
        <t>Links to: Income Statement row 12 - Total Revenue</t>
      </text>
    </comment>
    <comment ref="H5" authorId="0" shapeId="0">
      <text>
        <t>Links to: Income Statement row 12 - Total Revenue</t>
      </text>
    </comment>
    <comment ref="I5" authorId="0" shapeId="0">
      <text>
        <t>Links to: Income Statement row 12 - Total Revenue</t>
      </text>
    </comment>
    <comment ref="B6" authorId="0" shapeId="0">
      <text>
        <t>Links to: Income Statement row 29 - Gross Profit</t>
      </text>
    </comment>
    <comment ref="C6" authorId="0" shapeId="0">
      <text>
        <t>Links to: Income Statement row 29 - Gross Profit</t>
      </text>
    </comment>
    <comment ref="D6" authorId="0" shapeId="0">
      <text>
        <t>Links to: Income Statement row 29 - Gross Profit</t>
      </text>
    </comment>
    <comment ref="E6" authorId="0" shapeId="0">
      <text>
        <t>Links to: Income Statement row 29 - Gross Profit</t>
      </text>
    </comment>
    <comment ref="F6" authorId="0" shapeId="0">
      <text>
        <t>Links to: Income Statement row 29 - Gross Profit</t>
      </text>
    </comment>
    <comment ref="G6" authorId="0" shapeId="0">
      <text>
        <t>Links to: Income Statement row 29 - Gross Profit</t>
      </text>
    </comment>
    <comment ref="H6" authorId="0" shapeId="0">
      <text>
        <t>Links to: Income Statement row 29 - Gross Profit</t>
      </text>
    </comment>
    <comment ref="I6" authorId="0" shapeId="0">
      <text>
        <t>Links to: Income Statement row 29 - Gross Profit</t>
      </text>
    </comment>
    <comment ref="B7" authorId="0" shapeId="0">
      <text>
        <t>Calculated: Gross Profit / Revenue</t>
      </text>
    </comment>
    <comment ref="C7" authorId="0" shapeId="0">
      <text>
        <t>Calculation: Gross Profit / Revenue</t>
      </text>
    </comment>
    <comment ref="D7" authorId="0" shapeId="0">
      <text>
        <t>Calculation: Gross Profit / Revenue</t>
      </text>
    </comment>
    <comment ref="E7" authorId="0" shapeId="0">
      <text>
        <t>Calculation: Gross Profit / Revenue</t>
      </text>
    </comment>
    <comment ref="F7" authorId="0" shapeId="0">
      <text>
        <t>Calculation: Gross Profit / Revenue</t>
      </text>
    </comment>
    <comment ref="G7" authorId="0" shapeId="0">
      <text>
        <t>Calculation: Gross Profit / Revenue</t>
      </text>
    </comment>
    <comment ref="H7" authorId="0" shapeId="0">
      <text>
        <t>Calculation: Gross Profit / Revenue</t>
      </text>
    </comment>
    <comment ref="I7" authorId="0" shapeId="0">
      <text>
        <t>Calculation: Gross Profit / Revenue</t>
      </text>
    </comment>
    <comment ref="B8" authorId="0" shapeId="0">
      <text>
        <t>Links to: Income Statement row 48 - EBITDA</t>
      </text>
    </comment>
    <comment ref="C8" authorId="0" shapeId="0">
      <text>
        <t>Links to: Income Statement row 48 - EBITDA</t>
      </text>
    </comment>
    <comment ref="D8" authorId="0" shapeId="0">
      <text>
        <t>Links to: Income Statement row 48 - EBITDA</t>
      </text>
    </comment>
    <comment ref="E8" authorId="0" shapeId="0">
      <text>
        <t>Links to: Income Statement row 48 - EBITDA</t>
      </text>
    </comment>
    <comment ref="F8" authorId="0" shapeId="0">
      <text>
        <t>Links to: Income Statement row 48 - EBITDA</t>
      </text>
    </comment>
    <comment ref="G8" authorId="0" shapeId="0">
      <text>
        <t>Links to: Income Statement row 48 - EBITDA</t>
      </text>
    </comment>
    <comment ref="H8" authorId="0" shapeId="0">
      <text>
        <t>Links to: Income Statement row 48 - EBITDA</t>
      </text>
    </comment>
    <comment ref="I8" authorId="0" shapeId="0">
      <text>
        <t>Links to: Income Statement row 48 - EBITDA</t>
      </text>
    </comment>
    <comment ref="B9" authorId="0" shapeId="0">
      <text>
        <t>Calculated: EBITDA / Revenue</t>
      </text>
    </comment>
    <comment ref="C9" authorId="0" shapeId="0">
      <text>
        <t>Calculation: EBITDA / Revenue</t>
      </text>
    </comment>
    <comment ref="D9" authorId="0" shapeId="0">
      <text>
        <t>Calculation: EBITDA / Revenue</t>
      </text>
    </comment>
    <comment ref="E9" authorId="0" shapeId="0">
      <text>
        <t>Calculation: EBITDA / Revenue</t>
      </text>
    </comment>
    <comment ref="F9" authorId="0" shapeId="0">
      <text>
        <t>Calculation: EBITDA / Revenue</t>
      </text>
    </comment>
    <comment ref="G9" authorId="0" shapeId="0">
      <text>
        <t>Calculation: EBITDA / Revenue</t>
      </text>
    </comment>
    <comment ref="H9" authorId="0" shapeId="0">
      <text>
        <t>Calculation: EBITDA / Revenue</t>
      </text>
    </comment>
    <comment ref="I9" authorId="0" shapeId="0">
      <text>
        <t>Calculation: EBITDA / Revenue</t>
      </text>
    </comment>
    <comment ref="B10" authorId="0" shapeId="0">
      <text>
        <t>Links to: Income Statement row 58 - Net Income</t>
      </text>
    </comment>
    <comment ref="C10" authorId="0" shapeId="0">
      <text>
        <t>Links to: Income Statement row 58 - Net Income</t>
      </text>
    </comment>
    <comment ref="D10" authorId="0" shapeId="0">
      <text>
        <t>Links to: Income Statement row 58 - Net Income</t>
      </text>
    </comment>
    <comment ref="E10" authorId="0" shapeId="0">
      <text>
        <t>Links to: Income Statement row 58 - Net Income</t>
      </text>
    </comment>
    <comment ref="F10" authorId="0" shapeId="0">
      <text>
        <t>Links to: Income Statement row 58 - Net Income</t>
      </text>
    </comment>
    <comment ref="G10" authorId="0" shapeId="0">
      <text>
        <t>Links to: Income Statement row 58 - Net Income</t>
      </text>
    </comment>
    <comment ref="H10" authorId="0" shapeId="0">
      <text>
        <t>Links to: Income Statement row 58 - Net Income</t>
      </text>
    </comment>
    <comment ref="I10" authorId="0" shapeId="0">
      <text>
        <t>Links to: Income Statement row 58 - Net Income</t>
      </text>
    </comment>
    <comment ref="B11" authorId="0" shapeId="0">
      <text>
        <t>Calculated: Net Income / Revenue</t>
      </text>
    </comment>
    <comment ref="C11" authorId="0" shapeId="0">
      <text>
        <t>Calculation: Net Income / Revenue</t>
      </text>
    </comment>
    <comment ref="D11" authorId="0" shapeId="0">
      <text>
        <t>Calculation: Net Income / Revenue</t>
      </text>
    </comment>
    <comment ref="E11" authorId="0" shapeId="0">
      <text>
        <t>Calculation: Net Income / Revenue</t>
      </text>
    </comment>
    <comment ref="F11" authorId="0" shapeId="0">
      <text>
        <t>Calculation: Net Income / Revenue</t>
      </text>
    </comment>
    <comment ref="G11" authorId="0" shapeId="0">
      <text>
        <t>Calculation: Net Income / Revenue</t>
      </text>
    </comment>
    <comment ref="H11" authorId="0" shapeId="0">
      <text>
        <t>Calculation: Net Income / Revenue</t>
      </text>
    </comment>
    <comment ref="I11" authorId="0" shapeId="0">
      <text>
        <t>Calculation: Net Income / Revenue</t>
      </text>
    </comment>
    <comment ref="B17" authorId="0" shapeId="0">
      <text>
        <t>PPP forgiveness of $1,984,059 was recognized in 2020 (not in 2021-2025 period shown). Non-recurring gain. Source: reader_summary.md</t>
      </text>
    </comment>
    <comment ref="C17" authorId="0" shapeId="0">
      <text>
        <t>PPP forgiveness of $1,984,059 was recognized in 2020 (not in 2021-2025 period shown). Non-recurring gain. Source: reader_summary.md</t>
      </text>
    </comment>
    <comment ref="D17" authorId="0" shapeId="0">
      <text>
        <t>PPP forgiveness of $1,984,059 was recognized in 2020 (not in 2021-2025 period shown). Non-recurring gain. Source: reader_summary.md</t>
      </text>
    </comment>
    <comment ref="E17" authorId="0" shapeId="0">
      <text>
        <t>PPP forgiveness of $1,984,059 was recognized in 2020 (not in 2021-2025 period shown). Non-recurring gain. Source: reader_summary.md</t>
      </text>
    </comment>
    <comment ref="F17" authorId="0" shapeId="0">
      <text>
        <t>PPP forgiveness of $1,984,059 was recognized in 2020 (not in 2021-2025 period shown). Non-recurring gain. Source: reader_summary.md</t>
      </text>
    </comment>
    <comment ref="G17" authorId="0" shapeId="0">
      <text>
        <t>PPP forgiveness of $1,984,059 was recognized in 2020 (not in 2021-2025 period shown). Non-recurring gain. Source: reader_summary.md</t>
      </text>
    </comment>
    <comment ref="H17" authorId="0" shapeId="0">
      <text>
        <t>PPP forgiveness of $1,984,059 was recognized in 2020 (not in 2021-2025 period shown). Non-recurring gain. Source: reader_summary.md</t>
      </text>
    </comment>
    <comment ref="I17" authorId="0" shapeId="0">
      <text>
        <t>PPP forgiveness of $1,984,059 was recognized in 2020 (not in 2021-2025 period shown). Non-recurring gain. Source: reader_summary.md</t>
      </text>
    </comment>
    <comment ref="B18" authorId="0" shapeId="0">
      <text>
        <t>One-time insurance recovery of $2,669,372 in 2023. Non-recurring gain that inflated earnings. Subtract to normalize. Source: reader_summary.md, P&amp;L Detail row 52</t>
      </text>
    </comment>
    <comment ref="C18" authorId="0" shapeId="0">
      <text>
        <t>One-time insurance recovery of $2,669,372 in 2023. Non-recurring gain that inflated earnings. Subtract to normalize. Source: reader_summary.md, P&amp;L Detail row 52</t>
      </text>
    </comment>
    <comment ref="D18" authorId="0" shapeId="0">
      <text>
        <t>One-time insurance recovery of $2,669,372 in 2023. Non-recurring gain that inflated earnings. Subtract to normalize. Source: reader_summary.md, P&amp;L Detail row 52</t>
      </text>
    </comment>
    <comment ref="E18" authorId="0" shapeId="0">
      <text>
        <t>One-time insurance recovery of $2,669,372 in 2023. Non-recurring gain that inflated earnings. Subtract to normalize. Source: reader_summary.md, P&amp;L Detail row 52</t>
      </text>
    </comment>
    <comment ref="F18" authorId="0" shapeId="0">
      <text>
        <t>One-time insurance recovery of $2,669,372 in 2023. Non-recurring gain that inflated earnings. Subtract to normalize. Source: reader_summary.md, P&amp;L Detail row 52</t>
      </text>
    </comment>
    <comment ref="G18" authorId="0" shapeId="0">
      <text>
        <t>One-time insurance recovery of $2,669,372 in 2023. Non-recurring gain that inflated earnings. Subtract to normalize. Source: reader_summary.md, P&amp;L Detail row 52</t>
      </text>
    </comment>
    <comment ref="H18" authorId="0" shapeId="0">
      <text>
        <t>One-time insurance recovery of $2,669,372 in 2023. Non-recurring gain that inflated earnings. Subtract to normalize. Source: reader_summary.md, P&amp;L Detail row 52</t>
      </text>
    </comment>
    <comment ref="I18" authorId="0" shapeId="0">
      <text>
        <t>One-time insurance recovery of $2,669,372 in 2023. Non-recurring gain that inflated earnings. Subtract to normalize. Source: reader_summary.md, P&amp;L Detail row 52</t>
      </text>
    </comment>
    <comment ref="B19" authorId="0" shapeId="0">
      <text>
        <t>Insurance recovery of $391,353 in 2024. Non-recurring gain. Subtract to normalize. Source: P&amp;L Detail row 52</t>
      </text>
    </comment>
    <comment ref="C19" authorId="0" shapeId="0">
      <text>
        <t>Insurance recovery of $391,353 in 2024. Non-recurring gain. Subtract to normalize. Source: P&amp;L Detail row 52</t>
      </text>
    </comment>
    <comment ref="D19" authorId="0" shapeId="0">
      <text>
        <t>Insurance recovery of $391,353 in 2024. Non-recurring gain. Subtract to normalize. Source: P&amp;L Detail row 52</t>
      </text>
    </comment>
    <comment ref="E19" authorId="0" shapeId="0">
      <text>
        <t>Insurance recovery of $391,353 in 2024. Non-recurring gain. Subtract to normalize. Source: P&amp;L Detail row 52</t>
      </text>
    </comment>
    <comment ref="F19" authorId="0" shapeId="0">
      <text>
        <t>Insurance recovery of $391,353 in 2024. Non-recurring gain. Subtract to normalize. Source: P&amp;L Detail row 52</t>
      </text>
    </comment>
    <comment ref="G19" authorId="0" shapeId="0">
      <text>
        <t>Insurance recovery of $391,353 in 2024. Non-recurring gain. Subtract to normalize. Source: P&amp;L Detail row 52</t>
      </text>
    </comment>
    <comment ref="H19" authorId="0" shapeId="0">
      <text>
        <t>Insurance recovery of $391,353 in 2024. Non-recurring gain. Subtract to normalize. Source: P&amp;L Detail row 52</t>
      </text>
    </comment>
    <comment ref="I19" authorId="0" shapeId="0">
      <text>
        <t>Insurance recovery of $391,353 in 2024. Non-recurring gain. Subtract to normalize. Source: P&amp;L Detail row 52</t>
      </text>
    </comment>
    <comment ref="B20" authorId="0" shapeId="0">
      <text>
        <t>2021 Other Income includes PPP-related items and other non-recurring items. Normalize. Source: P&amp;L Detail row 53</t>
      </text>
    </comment>
    <comment ref="C20" authorId="0" shapeId="0">
      <text>
        <t>2021 Other Income includes PPP-related items and other non-recurring items. Normalize. Source: P&amp;L Detail row 53</t>
      </text>
    </comment>
    <comment ref="D20" authorId="0" shapeId="0">
      <text>
        <t>2021 Other Income includes PPP-related items and other non-recurring items. Normalize. Source: P&amp;L Detail row 53</t>
      </text>
    </comment>
    <comment ref="E20" authorId="0" shapeId="0">
      <text>
        <t>2021 Other Income includes PPP-related items and other non-recurring items. Normalize. Source: P&amp;L Detail row 53</t>
      </text>
    </comment>
    <comment ref="F20" authorId="0" shapeId="0">
      <text>
        <t>2021 Other Income includes PPP-related items and other non-recurring items. Normalize. Source: P&amp;L Detail row 53</t>
      </text>
    </comment>
    <comment ref="G20" authorId="0" shapeId="0">
      <text>
        <t>2021 Other Income includes PPP-related items and other non-recurring items. Normalize. Source: P&amp;L Detail row 53</t>
      </text>
    </comment>
    <comment ref="H20" authorId="0" shapeId="0">
      <text>
        <t>2021 Other Income includes PPP-related items and other non-recurring items. Normalize. Source: P&amp;L Detail row 53</t>
      </text>
    </comment>
    <comment ref="I20" authorId="0" shapeId="0">
      <text>
        <t>2021 Other Income includes PPP-related items and other non-recurring items. Normalize. Source: P&amp;L Detail row 53</t>
      </text>
    </comment>
    <comment ref="B21" authorId="0" shapeId="0">
      <text>
        <t>Gains on sale of equipment are non-recurring. Remove to show core operating earnings. Source: Income Statement row 25</t>
      </text>
    </comment>
    <comment ref="C21" authorId="0" shapeId="0">
      <text>
        <t>Gains on sale of equipment are non-recurring. Remove to show core operating earnings. Source: Income Statement row 25</t>
      </text>
    </comment>
    <comment ref="D21" authorId="0" shapeId="0">
      <text>
        <t>Gains on sale of equipment are non-recurring. Remove to show core operating earnings. Source: Income Statement row 25</t>
      </text>
    </comment>
    <comment ref="E21" authorId="0" shapeId="0">
      <text>
        <t>Gains on sale of equipment are non-recurring. Remove to show core operating earnings. Source: Income Statement row 25</t>
      </text>
    </comment>
    <comment ref="F21" authorId="0" shapeId="0">
      <text>
        <t>Gains on sale of equipment are non-recurring. Remove to show core operating earnings. Source: Income Statement row 25</t>
      </text>
    </comment>
    <comment ref="G21" authorId="0" shapeId="0">
      <text>
        <t>Gains on sale of equipment are non-recurring. Remove to show core operating earnings. Source: Income Statement row 25</t>
      </text>
    </comment>
    <comment ref="H21" authorId="0" shapeId="0">
      <text>
        <t>Gains on sale of equipment are non-recurring. Remove to show core operating earnings. Source: Income Statement row 25</t>
      </text>
    </comment>
    <comment ref="I21" authorId="0" shapeId="0">
      <text>
        <t>Gains on sale of equipment are non-recurring. Remove to show core operating earnings. Source: Income Statement row 25</t>
      </text>
    </comment>
    <comment ref="B22" authorId="0" shapeId="0">
      <text>
        <t>Add back 2022 investment loss as non-recurring. Source: P&amp;L Detail row 51</t>
      </text>
    </comment>
    <comment ref="C22" authorId="0" shapeId="0">
      <text>
        <t>Add back 2022 investment loss as non-recurring. Source: P&amp;L Detail row 51</t>
      </text>
    </comment>
    <comment ref="D22" authorId="0" shapeId="0">
      <text>
        <t>Add back 2022 investment loss as non-recurring. Source: P&amp;L Detail row 51</t>
      </text>
    </comment>
    <comment ref="E22" authorId="0" shapeId="0">
      <text>
        <t>Add back 2022 investment loss as non-recurring. Source: P&amp;L Detail row 51</t>
      </text>
    </comment>
    <comment ref="F22" authorId="0" shapeId="0">
      <text>
        <t>Add back 2022 investment loss as non-recurring. Source: P&amp;L Detail row 51</t>
      </text>
    </comment>
    <comment ref="G22" authorId="0" shapeId="0">
      <text>
        <t>Add back 2022 investment loss as non-recurring. Source: P&amp;L Detail row 51</t>
      </text>
    </comment>
    <comment ref="H22" authorId="0" shapeId="0">
      <text>
        <t>Add back 2022 investment loss as non-recurring. Source: P&amp;L Detail row 51</t>
      </text>
    </comment>
    <comment ref="I22" authorId="0" shapeId="0">
      <text>
        <t>Add back 2022 investment loss as non-recurring. Source: P&amp;L Detail row 51</t>
      </text>
    </comment>
    <comment ref="B23" authorId="0" shapeId="0">
      <text>
        <t>Placeholder for owner compensation adjustment. S-Corp owners may take below/above market compensation. Requires further analysis. Source: Standard QoE adjustment</t>
      </text>
    </comment>
    <comment ref="C23" authorId="0" shapeId="0">
      <text>
        <t>Placeholder for owner compensation adjustment. S-Corp owners may take below/above market compensation. Requires further analysis. Source: Standard QoE adjustment</t>
      </text>
    </comment>
    <comment ref="D23" authorId="0" shapeId="0">
      <text>
        <t>Placeholder for owner compensation adjustment. S-Corp owners may take below/above market compensation. Requires further analysis. Source: Standard QoE adjustment</t>
      </text>
    </comment>
    <comment ref="E23" authorId="0" shapeId="0">
      <text>
        <t>Placeholder for owner compensation adjustment. S-Corp owners may take below/above market compensation. Requires further analysis. Source: Standard QoE adjustment</t>
      </text>
    </comment>
    <comment ref="F23" authorId="0" shapeId="0">
      <text>
        <t>Placeholder for owner compensation adjustment. S-Corp owners may take below/above market compensation. Requires further analysis. Source: Standard QoE adjustment</t>
      </text>
    </comment>
    <comment ref="G23" authorId="0" shapeId="0">
      <text>
        <t>Placeholder for owner compensation adjustment. S-Corp owners may take below/above market compensation. Requires further analysis. Source: Standard QoE adjustment</t>
      </text>
    </comment>
    <comment ref="H23" authorId="0" shapeId="0">
      <text>
        <t>Placeholder for owner compensation adjustment. S-Corp owners may take below/above market compensation. Requires further analysis. Source: Standard QoE adjustment</t>
      </text>
    </comment>
    <comment ref="I23" authorId="0" shapeId="0">
      <text>
        <t>Placeholder for owner compensation adjustment. S-Corp owners may take below/above market compensation. Requires further analysis. Source: Standard QoE adjustment</t>
      </text>
    </comment>
    <comment ref="B24" authorId="0" shapeId="0">
      <text>
        <t>Placeholder for one-time legal/professional fees (e.g., transaction costs, litigation). Requires further analysis. Source: Standard QoE adjustment</t>
      </text>
    </comment>
    <comment ref="C24" authorId="0" shapeId="0">
      <text>
        <t>Placeholder for one-time legal/professional fees (e.g., transaction costs, litigation). Requires further analysis. Source: Standard QoE adjustment</t>
      </text>
    </comment>
    <comment ref="D24" authorId="0" shapeId="0">
      <text>
        <t>Placeholder for one-time legal/professional fees (e.g., transaction costs, litigation). Requires further analysis. Source: Standard QoE adjustment</t>
      </text>
    </comment>
    <comment ref="E24" authorId="0" shapeId="0">
      <text>
        <t>Placeholder for one-time legal/professional fees (e.g., transaction costs, litigation). Requires further analysis. Source: Standard QoE adjustment</t>
      </text>
    </comment>
    <comment ref="F24" authorId="0" shapeId="0">
      <text>
        <t>Placeholder for one-time legal/professional fees (e.g., transaction costs, litigation). Requires further analysis. Source: Standard QoE adjustment</t>
      </text>
    </comment>
    <comment ref="G24" authorId="0" shapeId="0">
      <text>
        <t>Placeholder for one-time legal/professional fees (e.g., transaction costs, litigation). Requires further analysis. Source: Standard QoE adjustment</t>
      </text>
    </comment>
    <comment ref="H24" authorId="0" shapeId="0">
      <text>
        <t>Placeholder for one-time legal/professional fees (e.g., transaction costs, litigation). Requires further analysis. Source: Standard QoE adjustment</t>
      </text>
    </comment>
    <comment ref="I24" authorId="0" shapeId="0">
      <text>
        <t>Placeholder for one-time legal/professional fees (e.g., transaction costs, litigation). Requires further analysis. Source: Standard QoE adjustment</t>
      </text>
    </comment>
    <comment ref="B25" authorId="0" shapeId="0">
      <text>
        <t>Building rent increased significantly ($157K to $12.9M). May include related party leases above/below market. Requires further analysis. Source: P&amp;L Detail row 34, reader_summary.md</t>
      </text>
    </comment>
    <comment ref="C25" authorId="0" shapeId="0">
      <text>
        <t>Building rent increased significantly ($157K to $12.9M). May include related party leases above/below market. Requires further analysis. Source: P&amp;L Detail row 34, reader_summary.md</t>
      </text>
    </comment>
    <comment ref="D25" authorId="0" shapeId="0">
      <text>
        <t>Building rent increased significantly ($157K to $12.9M). May include related party leases above/below market. Requires further analysis. Source: P&amp;L Detail row 34, reader_summary.md</t>
      </text>
    </comment>
    <comment ref="E25" authorId="0" shapeId="0">
      <text>
        <t>Building rent increased significantly ($157K to $12.9M). May include related party leases above/below market. Requires further analysis. Source: P&amp;L Detail row 34, reader_summary.md</t>
      </text>
    </comment>
    <comment ref="F25" authorId="0" shapeId="0">
      <text>
        <t>Building rent increased significantly ($157K to $12.9M). May include related party leases above/below market. Requires further analysis. Source: P&amp;L Detail row 34, reader_summary.md</t>
      </text>
    </comment>
    <comment ref="G25" authorId="0" shapeId="0">
      <text>
        <t>Building rent increased significantly ($157K to $12.9M). May include related party leases above/below market. Requires further analysis. Source: P&amp;L Detail row 34, reader_summary.md</t>
      </text>
    </comment>
    <comment ref="H25" authorId="0" shapeId="0">
      <text>
        <t>Building rent increased significantly ($157K to $12.9M). May include related party leases above/below market. Requires further analysis. Source: P&amp;L Detail row 34, reader_summary.md</t>
      </text>
    </comment>
    <comment ref="I25" authorId="0" shapeId="0">
      <text>
        <t>Building rent increased significantly ($157K to $12.9M). May include related party leases above/below market. Requires further analysis. Source: P&amp;L Detail row 34, reader_summary.md</t>
      </text>
    </comment>
    <comment ref="B26" authorId="0" shapeId="0">
      <text>
        <t>Corvette loan ($79,604) noted in debt schedule. May indicate personal use vehicle expensed through company. Requires further analysis. Source: reader_summary.md - loans.md</t>
      </text>
    </comment>
    <comment ref="C26" authorId="0" shapeId="0">
      <text>
        <t>Corvette loan ($79,604) noted in debt schedule. May indicate personal use vehicle expensed through company. Requires further analysis. Source: reader_summary.md - loans.md</t>
      </text>
    </comment>
    <comment ref="D26" authorId="0" shapeId="0">
      <text>
        <t>Corvette loan ($79,604) noted in debt schedule. May indicate personal use vehicle expensed through company. Requires further analysis. Source: reader_summary.md - loans.md</t>
      </text>
    </comment>
    <comment ref="E26" authorId="0" shapeId="0">
      <text>
        <t>Corvette loan ($79,604) noted in debt schedule. May indicate personal use vehicle expensed through company. Requires further analysis. Source: reader_summary.md - loans.md</t>
      </text>
    </comment>
    <comment ref="F26" authorId="0" shapeId="0">
      <text>
        <t>Corvette loan ($79,604) noted in debt schedule. May indicate personal use vehicle expensed through company. Requires further analysis. Source: reader_summary.md - loans.md</t>
      </text>
    </comment>
    <comment ref="G26" authorId="0" shapeId="0">
      <text>
        <t>Corvette loan ($79,604) noted in debt schedule. May indicate personal use vehicle expensed through company. Requires further analysis. Source: reader_summary.md - loans.md</t>
      </text>
    </comment>
    <comment ref="H26" authorId="0" shapeId="0">
      <text>
        <t>Corvette loan ($79,604) noted in debt schedule. May indicate personal use vehicle expensed through company. Requires further analysis. Source: reader_summary.md - loans.md</t>
      </text>
    </comment>
    <comment ref="I26" authorId="0" shapeId="0">
      <text>
        <t>Corvette loan ($79,604) noted in debt schedule. May indicate personal use vehicle expensed through company. Requires further analysis. Source: reader_summary.md - loans.md</t>
      </text>
    </comment>
    <comment ref="B27" authorId="0" shapeId="0">
      <text>
        <t>March 2025 refinancing and forbearance agreements may have incurred one-time costs. Requires further analysis. Source: reader_summary.md</t>
      </text>
    </comment>
    <comment ref="C27" authorId="0" shapeId="0">
      <text>
        <t>March 2025 refinancing and forbearance agreements may have incurred one-time costs. Requires further analysis. Source: reader_summary.md</t>
      </text>
    </comment>
    <comment ref="D27" authorId="0" shapeId="0">
      <text>
        <t>March 2025 refinancing and forbearance agreements may have incurred one-time costs. Requires further analysis. Source: reader_summary.md</t>
      </text>
    </comment>
    <comment ref="E27" authorId="0" shapeId="0">
      <text>
        <t>March 2025 refinancing and forbearance agreements may have incurred one-time costs. Requires further analysis. Source: reader_summary.md</t>
      </text>
    </comment>
    <comment ref="F27" authorId="0" shapeId="0">
      <text>
        <t>March 2025 refinancing and forbearance agreements may have incurred one-time costs. Requires further analysis. Source: reader_summary.md</t>
      </text>
    </comment>
    <comment ref="G27" authorId="0" shapeId="0">
      <text>
        <t>March 2025 refinancing and forbearance agreements may have incurred one-time costs. Requires further analysis. Source: reader_summary.md</t>
      </text>
    </comment>
    <comment ref="H27" authorId="0" shapeId="0">
      <text>
        <t>March 2025 refinancing and forbearance agreements may have incurred one-time costs. Requires further analysis. Source: reader_summary.md</t>
      </text>
    </comment>
    <comment ref="I27" authorId="0" shapeId="0">
      <text>
        <t>March 2025 refinancing and forbearance agreements may have incurred one-time costs. Requires further analysis. Source: reader_summary.md</t>
      </text>
    </comment>
    <comment ref="B28" authorId="0" shapeId="0">
      <text>
        <t>Bank fees of $656K in 2025 may include one-time refinancing fees. Requires further analysis. Source: P&amp;L Detail row 44</t>
      </text>
    </comment>
    <comment ref="C28" authorId="0" shapeId="0">
      <text>
        <t>Bank fees of $656K in 2025 may include one-time refinancing fees. Requires further analysis. Source: P&amp;L Detail row 44</t>
      </text>
    </comment>
    <comment ref="D28" authorId="0" shapeId="0">
      <text>
        <t>Bank fees of $656K in 2025 may include one-time refinancing fees. Requires further analysis. Source: P&amp;L Detail row 44</t>
      </text>
    </comment>
    <comment ref="E28" authorId="0" shapeId="0">
      <text>
        <t>Bank fees of $656K in 2025 may include one-time refinancing fees. Requires further analysis. Source: P&amp;L Detail row 44</t>
      </text>
    </comment>
    <comment ref="F28" authorId="0" shapeId="0">
      <text>
        <t>Bank fees of $656K in 2025 may include one-time refinancing fees. Requires further analysis. Source: P&amp;L Detail row 44</t>
      </text>
    </comment>
    <comment ref="G28" authorId="0" shapeId="0">
      <text>
        <t>Bank fees of $656K in 2025 may include one-time refinancing fees. Requires further analysis. Source: P&amp;L Detail row 44</t>
      </text>
    </comment>
    <comment ref="H28" authorId="0" shapeId="0">
      <text>
        <t>Bank fees of $656K in 2025 may include one-time refinancing fees. Requires further analysis. Source: P&amp;L Detail row 44</t>
      </text>
    </comment>
    <comment ref="I28" authorId="0" shapeId="0">
      <text>
        <t>Bank fees of $656K in 2025 may include one-time refinancing fees. Requires further analysis. Source: P&amp;L Detail row 44</t>
      </text>
    </comment>
    <comment ref="B30" authorId="0" shapeId="0">
      <text>
        <t>Sum of rows 17-28: All due diligence adjustments</t>
      </text>
    </comment>
    <comment ref="C30" authorId="0" shapeId="0">
      <text>
        <t>Sum of rows 17-28: All due diligence adjustments</t>
      </text>
    </comment>
    <comment ref="D30" authorId="0" shapeId="0">
      <text>
        <t>Sum of rows 17-28: All due diligence adjustments</t>
      </text>
    </comment>
    <comment ref="E30" authorId="0" shapeId="0">
      <text>
        <t>Sum of rows 17-28: All due diligence adjustments</t>
      </text>
    </comment>
    <comment ref="F30" authorId="0" shapeId="0">
      <text>
        <t>Sum of rows 17-28: All due diligence adjustments</t>
      </text>
    </comment>
    <comment ref="G30" authorId="0" shapeId="0">
      <text>
        <t>Sum of rows 17-28: All due diligence adjustments</t>
      </text>
    </comment>
    <comment ref="H30" authorId="0" shapeId="0">
      <text>
        <t>Sum of rows 17-28: All due diligence adjustments</t>
      </text>
    </comment>
    <comment ref="I30" authorId="0" shapeId="0">
      <text>
        <t>Sum of rows 17-28: All due diligence adjustments</t>
      </text>
    </comment>
    <comment ref="B32" authorId="0" shapeId="0">
      <text>
        <t>Reported EBITDA + Total DD Adjustments</t>
      </text>
    </comment>
    <comment ref="C32" authorId="0" shapeId="0">
      <text>
        <t>Calculation: Reported EBITDA + Total DD Adjustments</t>
      </text>
    </comment>
    <comment ref="D32" authorId="0" shapeId="0">
      <text>
        <t>Calculation: Reported EBITDA + Total DD Adjustments</t>
      </text>
    </comment>
    <comment ref="E32" authorId="0" shapeId="0">
      <text>
        <t>Calculation: Reported EBITDA + Total DD Adjustments</t>
      </text>
    </comment>
    <comment ref="F32" authorId="0" shapeId="0">
      <text>
        <t>Calculation: Reported EBITDA + Total DD Adjustments</t>
      </text>
    </comment>
    <comment ref="G32" authorId="0" shapeId="0">
      <text>
        <t>Calculation: Reported EBITDA + Total DD Adjustments</t>
      </text>
    </comment>
    <comment ref="H32" authorId="0" shapeId="0">
      <text>
        <t>Calculation: Reported EBITDA + Total DD Adjustments</t>
      </text>
    </comment>
    <comment ref="I32" authorId="0" shapeId="0">
      <text>
        <t>Calculation: Reported EBITDA + Total DD Adjustments</t>
      </text>
    </comment>
    <comment ref="B40" authorId="0" shapeId="0">
      <text>
        <t>Placeholder for run-rate revenue adjustments (new contracts, lost customers, etc.). Source: Standard QoE adjustment</t>
      </text>
    </comment>
    <comment ref="C40" authorId="0" shapeId="0">
      <text>
        <t>Placeholder for run-rate revenue adjustments (new contracts, lost customers, etc.). Source: Standard QoE adjustment</t>
      </text>
    </comment>
    <comment ref="D40" authorId="0" shapeId="0">
      <text>
        <t>Placeholder for run-rate revenue adjustments (new contracts, lost customers, etc.). Source: Standard QoE adjustment</t>
      </text>
    </comment>
    <comment ref="E40" authorId="0" shapeId="0">
      <text>
        <t>Placeholder for run-rate revenue adjustments (new contracts, lost customers, etc.). Source: Standard QoE adjustment</t>
      </text>
    </comment>
    <comment ref="F40" authorId="0" shapeId="0">
      <text>
        <t>Placeholder for run-rate revenue adjustments (new contracts, lost customers, etc.). Source: Standard QoE adjustment</t>
      </text>
    </comment>
    <comment ref="G40" authorId="0" shapeId="0">
      <text>
        <t>Placeholder for run-rate revenue adjustments (new contracts, lost customers, etc.). Source: Standard QoE adjustment</t>
      </text>
    </comment>
    <comment ref="H40" authorId="0" shapeId="0">
      <text>
        <t>Placeholder for run-rate revenue adjustments (new contracts, lost customers, etc.). Source: Standard QoE adjustment</t>
      </text>
    </comment>
    <comment ref="I40" authorId="0" shapeId="0">
      <text>
        <t>Placeholder for run-rate revenue adjustments (new contracts, lost customers, etc.). Source: Standard QoE adjustment</t>
      </text>
    </comment>
    <comment ref="B41" authorId="0" shapeId="0">
      <text>
        <t>Placeholder for anticipated cost synergies from acquisition. Buyer-specific. Source: Standard QoE adjustment</t>
      </text>
    </comment>
    <comment ref="C41" authorId="0" shapeId="0">
      <text>
        <t>Placeholder for anticipated cost synergies from acquisition. Buyer-specific. Source: Standard QoE adjustment</t>
      </text>
    </comment>
    <comment ref="D41" authorId="0" shapeId="0">
      <text>
        <t>Placeholder for anticipated cost synergies from acquisition. Buyer-specific. Source: Standard QoE adjustment</t>
      </text>
    </comment>
    <comment ref="E41" authorId="0" shapeId="0">
      <text>
        <t>Placeholder for anticipated cost synergies from acquisition. Buyer-specific. Source: Standard QoE adjustment</t>
      </text>
    </comment>
    <comment ref="F41" authorId="0" shapeId="0">
      <text>
        <t>Placeholder for anticipated cost synergies from acquisition. Buyer-specific. Source: Standard QoE adjustment</t>
      </text>
    </comment>
    <comment ref="G41" authorId="0" shapeId="0">
      <text>
        <t>Placeholder for anticipated cost synergies from acquisition. Buyer-specific. Source: Standard QoE adjustment</t>
      </text>
    </comment>
    <comment ref="H41" authorId="0" shapeId="0">
      <text>
        <t>Placeholder for anticipated cost synergies from acquisition. Buyer-specific. Source: Standard QoE adjustment</t>
      </text>
    </comment>
    <comment ref="I41" authorId="0" shapeId="0">
      <text>
        <t>Placeholder for anticipated cost synergies from acquisition. Buyer-specific. Source: Standard QoE adjustment</t>
      </text>
    </comment>
    <comment ref="B42" authorId="0" shapeId="0">
      <text>
        <t>Placeholder for new management team compensation structure. Buyer-specific. Source: Standard QoE adjustment</t>
      </text>
    </comment>
    <comment ref="C42" authorId="0" shapeId="0">
      <text>
        <t>Placeholder for new management team compensation structure. Buyer-specific. Source: Standard QoE adjustment</t>
      </text>
    </comment>
    <comment ref="D42" authorId="0" shapeId="0">
      <text>
        <t>Placeholder for new management team compensation structure. Buyer-specific. Source: Standard QoE adjustment</t>
      </text>
    </comment>
    <comment ref="E42" authorId="0" shapeId="0">
      <text>
        <t>Placeholder for new management team compensation structure. Buyer-specific. Source: Standard QoE adjustment</t>
      </text>
    </comment>
    <comment ref="F42" authorId="0" shapeId="0">
      <text>
        <t>Placeholder for new management team compensation structure. Buyer-specific. Source: Standard QoE adjustment</t>
      </text>
    </comment>
    <comment ref="G42" authorId="0" shapeId="0">
      <text>
        <t>Placeholder for new management team compensation structure. Buyer-specific. Source: Standard QoE adjustment</t>
      </text>
    </comment>
    <comment ref="H42" authorId="0" shapeId="0">
      <text>
        <t>Placeholder for new management team compensation structure. Buyer-specific. Source: Standard QoE adjustment</t>
      </text>
    </comment>
    <comment ref="I42" authorId="0" shapeId="0">
      <text>
        <t>Placeholder for new management team compensation structure. Buyer-specific. Source: Standard QoE adjustment</t>
      </text>
    </comment>
    <comment ref="B43" authorId="0" shapeId="0">
      <text>
        <t>Placeholder for public company costs if applicable (SOX compliance, IR, etc.). Source: Standard QoE adjustment</t>
      </text>
    </comment>
    <comment ref="C43" authorId="0" shapeId="0">
      <text>
        <t>Placeholder for public company costs if applicable (SOX compliance, IR, etc.). Source: Standard QoE adjustment</t>
      </text>
    </comment>
    <comment ref="D43" authorId="0" shapeId="0">
      <text>
        <t>Placeholder for public company costs if applicable (SOX compliance, IR, etc.). Source: Standard QoE adjustment</t>
      </text>
    </comment>
    <comment ref="E43" authorId="0" shapeId="0">
      <text>
        <t>Placeholder for public company costs if applicable (SOX compliance, IR, etc.). Source: Standard QoE adjustment</t>
      </text>
    </comment>
    <comment ref="F43" authorId="0" shapeId="0">
      <text>
        <t>Placeholder for public company costs if applicable (SOX compliance, IR, etc.). Source: Standard QoE adjustment</t>
      </text>
    </comment>
    <comment ref="G43" authorId="0" shapeId="0">
      <text>
        <t>Placeholder for public company costs if applicable (SOX compliance, IR, etc.). Source: Standard QoE adjustment</t>
      </text>
    </comment>
    <comment ref="H43" authorId="0" shapeId="0">
      <text>
        <t>Placeholder for public company costs if applicable (SOX compliance, IR, etc.). Source: Standard QoE adjustment</t>
      </text>
    </comment>
    <comment ref="I43" authorId="0" shapeId="0">
      <text>
        <t>Placeholder for public company costs if applicable (SOX compliance, IR, etc.). Source: Standard QoE adjustment</t>
      </text>
    </comment>
    <comment ref="B44" authorId="0" shapeId="0">
      <text>
        <t>Placeholder for interest normalization based on new capital structure. Note: Current debt ~$50M with $2.2M interest. Source: reader_summary.md</t>
      </text>
    </comment>
    <comment ref="C44" authorId="0" shapeId="0">
      <text>
        <t>Placeholder for interest normalization based on new capital structure. Note: Current debt ~$50M with $2.2M interest. Source: reader_summary.md</t>
      </text>
    </comment>
    <comment ref="D44" authorId="0" shapeId="0">
      <text>
        <t>Placeholder for interest normalization based on new capital structure. Note: Current debt ~$50M with $2.2M interest. Source: reader_summary.md</t>
      </text>
    </comment>
    <comment ref="E44" authorId="0" shapeId="0">
      <text>
        <t>Placeholder for interest normalization based on new capital structure. Note: Current debt ~$50M with $2.2M interest. Source: reader_summary.md</t>
      </text>
    </comment>
    <comment ref="F44" authorId="0" shapeId="0">
      <text>
        <t>Placeholder for interest normalization based on new capital structure. Note: Current debt ~$50M with $2.2M interest. Source: reader_summary.md</t>
      </text>
    </comment>
    <comment ref="G44" authorId="0" shapeId="0">
      <text>
        <t>Placeholder for interest normalization based on new capital structure. Note: Current debt ~$50M with $2.2M interest. Source: reader_summary.md</t>
      </text>
    </comment>
    <comment ref="H44" authorId="0" shapeId="0">
      <text>
        <t>Placeholder for interest normalization based on new capital structure. Note: Current debt ~$50M with $2.2M interest. Source: reader_summary.md</t>
      </text>
    </comment>
    <comment ref="I44" authorId="0" shapeId="0">
      <text>
        <t>Placeholder for interest normalization based on new capital structure. Note: Current debt ~$50M with $2.2M interest. Source: reader_summary.md</t>
      </text>
    </comment>
    <comment ref="B45" authorId="0" shapeId="0">
      <text>
        <t>Placeholder for standalone entity costs (e.g., IT infrastructure, shared services). Source: Standard QoE adjustment</t>
      </text>
    </comment>
    <comment ref="C45" authorId="0" shapeId="0">
      <text>
        <t>Placeholder for standalone entity costs (e.g., IT infrastructure, shared services). Source: Standard QoE adjustment</t>
      </text>
    </comment>
    <comment ref="D45" authorId="0" shapeId="0">
      <text>
        <t>Placeholder for standalone entity costs (e.g., IT infrastructure, shared services). Source: Standard QoE adjustment</t>
      </text>
    </comment>
    <comment ref="E45" authorId="0" shapeId="0">
      <text>
        <t>Placeholder for standalone entity costs (e.g., IT infrastructure, shared services). Source: Standard QoE adjustment</t>
      </text>
    </comment>
    <comment ref="F45" authorId="0" shapeId="0">
      <text>
        <t>Placeholder for standalone entity costs (e.g., IT infrastructure, shared services). Source: Standard QoE adjustment</t>
      </text>
    </comment>
    <comment ref="G45" authorId="0" shapeId="0">
      <text>
        <t>Placeholder for standalone entity costs (e.g., IT infrastructure, shared services). Source: Standard QoE adjustment</t>
      </text>
    </comment>
    <comment ref="H45" authorId="0" shapeId="0">
      <text>
        <t>Placeholder for standalone entity costs (e.g., IT infrastructure, shared services). Source: Standard QoE adjustment</t>
      </text>
    </comment>
    <comment ref="I45" authorId="0" shapeId="0">
      <text>
        <t>Placeholder for standalone entity costs (e.g., IT infrastructure, shared services). Source: Standard QoE adjustment</t>
      </text>
    </comment>
    <comment ref="B46" authorId="0" shapeId="0">
      <text>
        <t>ASC 842 adopted in 2022. Operating lease expense reclassified. May need rent normalization. Source: reader_summary.md</t>
      </text>
    </comment>
    <comment ref="C46" authorId="0" shapeId="0">
      <text>
        <t>ASC 842 adopted in 2022. Operating lease expense reclassified. May need rent normalization. Source: reader_summary.md</t>
      </text>
    </comment>
    <comment ref="D46" authorId="0" shapeId="0">
      <text>
        <t>ASC 842 adopted in 2022. Operating lease expense reclassified. May need rent normalization. Source: reader_summary.md</t>
      </text>
    </comment>
    <comment ref="E46" authorId="0" shapeId="0">
      <text>
        <t>ASC 842 adopted in 2022. Operating lease expense reclassified. May need rent normalization. Source: reader_summary.md</t>
      </text>
    </comment>
    <comment ref="F46" authorId="0" shapeId="0">
      <text>
        <t>ASC 842 adopted in 2022. Operating lease expense reclassified. May need rent normalization. Source: reader_summary.md</t>
      </text>
    </comment>
    <comment ref="G46" authorId="0" shapeId="0">
      <text>
        <t>ASC 842 adopted in 2022. Operating lease expense reclassified. May need rent normalization. Source: reader_summary.md</t>
      </text>
    </comment>
    <comment ref="H46" authorId="0" shapeId="0">
      <text>
        <t>ASC 842 adopted in 2022. Operating lease expense reclassified. May need rent normalization. Source: reader_summary.md</t>
      </text>
    </comment>
    <comment ref="I46" authorId="0" shapeId="0">
      <text>
        <t>ASC 842 adopted in 2022. Operating lease expense reclassified. May need rent normalization. Source: reader_summary.md</t>
      </text>
    </comment>
    <comment ref="B48" authorId="0" shapeId="0">
      <text>
        <t>Sum of rows 40-46: All pro forma adjustments</t>
      </text>
    </comment>
    <comment ref="C48" authorId="0" shapeId="0">
      <text>
        <t>Sum of rows 40-46: All pro forma adjustments</t>
      </text>
    </comment>
    <comment ref="D48" authorId="0" shapeId="0">
      <text>
        <t>Sum of rows 40-46: All pro forma adjustments</t>
      </text>
    </comment>
    <comment ref="E48" authorId="0" shapeId="0">
      <text>
        <t>Sum of rows 40-46: All pro forma adjustments</t>
      </text>
    </comment>
    <comment ref="F48" authorId="0" shapeId="0">
      <text>
        <t>Sum of rows 40-46: All pro forma adjustments</t>
      </text>
    </comment>
    <comment ref="G48" authorId="0" shapeId="0">
      <text>
        <t>Sum of rows 40-46: All pro forma adjustments</t>
      </text>
    </comment>
    <comment ref="H48" authorId="0" shapeId="0">
      <text>
        <t>Sum of rows 40-46: All pro forma adjustments</t>
      </text>
    </comment>
    <comment ref="I48" authorId="0" shapeId="0">
      <text>
        <t>Sum of rows 40-46: All pro forma adjustments</t>
      </text>
    </comment>
    <comment ref="B55" authorId="0" shapeId="0">
      <text>
        <t>Reference to row 8 - Reported EBITDA from Income Statement</t>
      </text>
    </comment>
    <comment ref="C55" authorId="0" shapeId="0">
      <text>
        <t>Reference to row 8 - Reported EBITDA</t>
      </text>
    </comment>
    <comment ref="D55" authorId="0" shapeId="0">
      <text>
        <t>Reference to row 8 - Reported EBITDA</t>
      </text>
    </comment>
    <comment ref="E55" authorId="0" shapeId="0">
      <text>
        <t>Reference to row 8 - Reported EBITDA</t>
      </text>
    </comment>
    <comment ref="F55" authorId="0" shapeId="0">
      <text>
        <t>Reference to row 8 - Reported EBITDA</t>
      </text>
    </comment>
    <comment ref="G55" authorId="0" shapeId="0">
      <text>
        <t>Reference to row 8 - Reported EBITDA</t>
      </text>
    </comment>
    <comment ref="H55" authorId="0" shapeId="0">
      <text>
        <t>Reference to row 8 - Reported EBITDA</t>
      </text>
    </comment>
    <comment ref="I55" authorId="0" shapeId="0">
      <text>
        <t>Reference to row 8 - Reported EBITDA</t>
      </text>
    </comment>
    <comment ref="B56" authorId="0" shapeId="0">
      <text>
        <t>Reference to row 30 - Total Due Diligence Adjustments</t>
      </text>
    </comment>
    <comment ref="C56" authorId="0" shapeId="0">
      <text>
        <t>Reference to row 30 - Total DD Adjustments</t>
      </text>
    </comment>
    <comment ref="D56" authorId="0" shapeId="0">
      <text>
        <t>Reference to row 30 - Total DD Adjustments</t>
      </text>
    </comment>
    <comment ref="E56" authorId="0" shapeId="0">
      <text>
        <t>Reference to row 30 - Total DD Adjustments</t>
      </text>
    </comment>
    <comment ref="F56" authorId="0" shapeId="0">
      <text>
        <t>Reference to row 30 - Total DD Adjustments</t>
      </text>
    </comment>
    <comment ref="G56" authorId="0" shapeId="0">
      <text>
        <t>Reference to row 30 - Total DD Adjustments</t>
      </text>
    </comment>
    <comment ref="H56" authorId="0" shapeId="0">
      <text>
        <t>Reference to row 30 - Total DD Adjustments</t>
      </text>
    </comment>
    <comment ref="I56" authorId="0" shapeId="0">
      <text>
        <t>Reference to row 30 - Total DD Adjustments</t>
      </text>
    </comment>
    <comment ref="B57" authorId="0" shapeId="0">
      <text>
        <t>Reference to row 48 - Total Pro Forma Adjustments</t>
      </text>
    </comment>
    <comment ref="C57" authorId="0" shapeId="0">
      <text>
        <t>Reference to row 48 - Total Pro Forma Adjustments</t>
      </text>
    </comment>
    <comment ref="D57" authorId="0" shapeId="0">
      <text>
        <t>Reference to row 48 - Total Pro Forma Adjustments</t>
      </text>
    </comment>
    <comment ref="E57" authorId="0" shapeId="0">
      <text>
        <t>Reference to row 48 - Total Pro Forma Adjustments</t>
      </text>
    </comment>
    <comment ref="F57" authorId="0" shapeId="0">
      <text>
        <t>Reference to row 48 - Total Pro Forma Adjustments</t>
      </text>
    </comment>
    <comment ref="G57" authorId="0" shapeId="0">
      <text>
        <t>Reference to row 48 - Total Pro Forma Adjustments</t>
      </text>
    </comment>
    <comment ref="H57" authorId="0" shapeId="0">
      <text>
        <t>Reference to row 48 - Total Pro Forma Adjustments</t>
      </text>
    </comment>
    <comment ref="I57" authorId="0" shapeId="0">
      <text>
        <t>Reference to row 48 - Total Pro Forma Adjustments</t>
      </text>
    </comment>
    <comment ref="B58" authorId="0" shapeId="0">
      <text>
        <t>Final Adjusted EBITDA: Reported + DD + Pro Forma Adjustments</t>
      </text>
    </comment>
    <comment ref="C58" authorId="0" shapeId="0">
      <text>
        <t>Calculation: Reported EBITDA + DD Adjustments + Pro Forma Adjustments</t>
      </text>
    </comment>
    <comment ref="D58" authorId="0" shapeId="0">
      <text>
        <t>Calculation: Reported EBITDA + DD Adjustments + Pro Forma Adjustments</t>
      </text>
    </comment>
    <comment ref="E58" authorId="0" shapeId="0">
      <text>
        <t>Calculation: Reported EBITDA + DD Adjustments + Pro Forma Adjustments</t>
      </text>
    </comment>
    <comment ref="F58" authorId="0" shapeId="0">
      <text>
        <t>Calculation: Reported EBITDA + DD Adjustments + Pro Forma Adjustments</t>
      </text>
    </comment>
    <comment ref="G58" authorId="0" shapeId="0">
      <text>
        <t>Calculation: Reported EBITDA + DD Adjustments + Pro Forma Adjustments</t>
      </text>
    </comment>
    <comment ref="H58" authorId="0" shapeId="0">
      <text>
        <t>Calculation: Reported EBITDA + DD Adjustments + Pro Forma Adjustments</t>
      </text>
    </comment>
    <comment ref="I58" authorId="0" shapeId="0">
      <text>
        <t>Calculation: Reported EBITDA + DD Adjustments + Pro Forma Adjustments</t>
      </text>
    </comment>
    <comment ref="B59" authorId="0" shapeId="0">
      <text>
        <t>Calculated: Adjusted EBITDA / Revenue</t>
      </text>
    </comment>
    <comment ref="C59" authorId="0" shapeId="0">
      <text>
        <t>Calculation: Adjusted EBITDA / Revenue</t>
      </text>
    </comment>
    <comment ref="D59" authorId="0" shapeId="0">
      <text>
        <t>Calculation: Adjusted EBITDA / Revenue</t>
      </text>
    </comment>
    <comment ref="E59" authorId="0" shapeId="0">
      <text>
        <t>Calculation: Adjusted EBITDA / Revenue</t>
      </text>
    </comment>
    <comment ref="F59" authorId="0" shapeId="0">
      <text>
        <t>Calculation: Adjusted EBITDA / Revenue</t>
      </text>
    </comment>
    <comment ref="G59" authorId="0" shapeId="0">
      <text>
        <t>Calculation: Adjusted EBITDA / Revenue</t>
      </text>
    </comment>
    <comment ref="H59" authorId="0" shapeId="0">
      <text>
        <t>Calculation: Adjusted EBITDA / Revenue</t>
      </text>
    </comment>
    <comment ref="I59" authorId="0" shapeId="0">
      <text>
        <t>Calculation: Adjusted EBITDA / Revenue</t>
      </text>
    </comment>
    <comment ref="B65" authorId="0" shapeId="0">
      <text>
        <t>Check: must be 0. Non-zero = model error. Compares QoE row 8 to Income Statement row 48.</t>
      </text>
    </comment>
    <comment ref="C65" authorId="0" shapeId="0">
      <text>
        <t>Check: QoE Reported EBITDA minus IS EBITDA. Must be 0.</t>
      </text>
    </comment>
    <comment ref="D65" authorId="0" shapeId="0">
      <text>
        <t>Check: QoE Reported EBITDA minus IS EBITDA. Must be 0.</t>
      </text>
    </comment>
    <comment ref="E65" authorId="0" shapeId="0">
      <text>
        <t>Check: QoE Reported EBITDA minus IS EBITDA. Must be 0.</t>
      </text>
    </comment>
    <comment ref="F65" authorId="0" shapeId="0">
      <text>
        <t>Check: QoE Reported EBITDA minus IS EBITDA. Must be 0.</t>
      </text>
    </comment>
    <comment ref="G65" authorId="0" shapeId="0">
      <text>
        <t>Check: QoE Reported EBITDA minus IS EBITDA. Must be 0.</t>
      </text>
    </comment>
    <comment ref="H65" authorId="0" shapeId="0">
      <text>
        <t>Check: QoE Reported EBITDA minus IS EBITDA. Must be 0.</t>
      </text>
    </comment>
    <comment ref="I65" authorId="0" shapeId="0">
      <text>
        <t>Check: QoE Reported EBITDA minus IS EBITDA. Must be 0.</t>
      </text>
    </comment>
  </commentList>
</comments>
</file>

<file path=xl/comments/comment27.xml><?xml version="1.0" encoding="utf-8"?>
<comments xmlns="http://schemas.openxmlformats.org/spreadsheetml/2006/main">
  <authors>
    <author>Model Builder</author>
  </authors>
  <commentList>
    <comment ref="A1" authorId="0" shapeId="0">
      <text>
        <t>Open items tracking sheet for due diligence. Updated: May 2026.</t>
      </text>
    </comment>
    <comment ref="C5" authorId="0" shapeId="0">
      <text>
        <t>Source: reader_summary.md, loans.md
Extracted: 2026-05-19</t>
      </text>
    </comment>
    <comment ref="C6" authorId="0" shapeId="0">
      <text>
        <t>Source: reader_summary.md, loans.md
Extracted: 2026-05-19</t>
      </text>
    </comment>
    <comment ref="C7" authorId="0" shapeId="0">
      <text>
        <t>Source: reader_summary.md, loans.md
Extracted: 2026-05-19</t>
      </text>
    </comment>
    <comment ref="C8" authorId="0" shapeId="0">
      <text>
        <t>Source: reader_summary.md, loans.md
Extracted: 2026-05-19</t>
      </text>
    </comment>
    <comment ref="C9" authorId="0" shapeId="0">
      <text>
        <t>Source: reader_summary.md, loans.md
Extracted: 2026-05-19</t>
      </text>
    </comment>
    <comment ref="C10" authorId="0" shapeId="0">
      <text>
        <t>Source: reader_summary.md, loans.md
Extracted: 2026-05-19</t>
      </text>
    </comment>
    <comment ref="C11" authorId="0" shapeId="0">
      <text>
        <t>Source: reader_summary.md, loans.md
Extracted: 2026-05-19</t>
      </text>
    </comment>
    <comment ref="C12" authorId="0" shapeId="0">
      <text>
        <t>Source: reader_summary.md, loans.md
Extracted: 2026-05-19</t>
      </text>
    </comment>
    <comment ref="C13" authorId="0" shapeId="0">
      <text>
        <t>Source: reader_summary.md, loans.md
Extracted: 2026-05-19</t>
      </text>
    </comment>
    <comment ref="C14" authorId="0" shapeId="0">
      <text>
        <t>Source: reader_summary.md, loans.md
Extracted: 2026-05-19</t>
      </text>
    </comment>
    <comment ref="C15" authorId="0" shapeId="0">
      <text>
        <t>Source: reader_summary.md, loans.md
Extracted: 2026-05-19</t>
      </text>
    </comment>
    <comment ref="C16" authorId="0" shapeId="0">
      <text>
        <t>Source: reader_summary.md, loans.md
Extracted: 2026-05-19</t>
      </text>
    </comment>
    <comment ref="C17" authorId="0" shapeId="0">
      <text>
        <t>Source: reader_summary.md, loans.md
Extracted: 2026-05-19</t>
      </text>
    </comment>
    <comment ref="C18" authorId="0" shapeId="0">
      <text>
        <t>Source: reader_summary.md, loans.md
Extracted: 2026-05-19</t>
      </text>
    </comment>
    <comment ref="C19" authorId="0" shapeId="0">
      <text>
        <t>Source: reader_summary.md, loans.md
Extracted: 2026-05-19</t>
      </text>
    </comment>
    <comment ref="C20" authorId="0" shapeId="0">
      <text>
        <t>Source: reader_summary.md, loans.md
Extracted: 2026-05-19</t>
      </text>
    </comment>
    <comment ref="C21" authorId="0" shapeId="0">
      <text>
        <t>Source: reader_summary.md, loans.md
Extracted: 2026-05-19</t>
      </text>
    </comment>
    <comment ref="C22" authorId="0" shapeId="0">
      <text>
        <t>Source: reader_summary.md, loans.md
Extracted: 2026-05-19</t>
      </text>
    </comment>
    <comment ref="C23" authorId="0" shapeId="0">
      <text>
        <t>Source: reader_summary.md, loans.md
Extracted: 2026-05-19</t>
      </text>
    </comment>
    <comment ref="C24" authorId="0" shapeId="0">
      <text>
        <t>Source: reader_summary.md, loans.md
Extracted: 2026-05-19</t>
      </text>
    </comment>
    <comment ref="C25" authorId="0" shapeId="0">
      <text>
        <t>Source: reader_summary.md, loans.md
Extracted: 2026-05-19</t>
      </text>
    </comment>
    <comment ref="C26" authorId="0" shapeId="0">
      <text>
        <t>Source: reader_summary.md, loans.md
Extracted: 2026-05-19</t>
      </text>
    </comment>
    <comment ref="C27" authorId="0" shapeId="0">
      <text>
        <t>Source: reader_summary.md, loans.md
Extracted: 2026-05-19</t>
      </text>
    </comment>
    <comment ref="A29" authorId="0" shapeId="0">
      <text>
        <t>Summary statistics for open items tracking.</t>
      </text>
    </comment>
  </commentList>
</comments>
</file>

<file path=xl/comments/comment3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Meiborg_Debt_Schedule_202511.xlsx
Extracted: 2025-11-30</t>
      </text>
    </comment>
    <comment ref="B3" authorId="0" shapeId="0">
      <text>
        <t>Remaining balance as of Nov 30, 2025
Source: Meiborg_Debt_Schedule_202511.xlsx</t>
      </text>
    </comment>
    <comment ref="B4" authorId="0" shapeId="0">
      <text>
        <t>Monthly P&amp;I payment
Source: Meiborg_Debt_Schedule_202511.xlsx</t>
      </text>
    </comment>
    <comment ref="B5" authorId="0" shapeId="0">
      <text>
        <t>Annual interest rate (single loan = weighted avg)
Source: Meiborg_Debt_Schedule_202511.xlsx</t>
      </text>
    </comment>
    <comment ref="B8" authorId="0" shapeId="0">
      <text>
        <t>Loan ID: 08-2911-000-000-00
Use: Warehouse / Real Estate
Type: AMORTIZING</t>
      </text>
    </comment>
    <comment ref="C23" authorId="0" shapeId="0">
      <text>
        <t>Opening balance as of Dec 2025
Source: Meiborg_Debt_Schedule_202511.xlsx</t>
      </text>
    </comment>
    <comment ref="E23" authorId="0" shapeId="0">
      <text>
        <t>Interest = Beginning Balance x (Annual Rate / 12)
Loan: Wintrust, Rockford SBA - Milford Warehouse</t>
      </text>
    </comment>
    <comment ref="F23" authorId="0" shapeId="0">
      <text>
        <t>Principal = Payment - Interest (capped at balance)
Loan: Wintrust, Rockford SBA - Milford Warehouse</t>
      </text>
    </comment>
    <comment ref="G23" authorId="0" shapeId="0">
      <text>
        <t>Ending Balance = Beginning - Principal
Loan: Wintrust, Rockford SBA - Milford Warehouse</t>
      </text>
    </comment>
  </commentList>
</comments>
</file>

<file path=xl/comments/comment4.xml><?xml version="1.0" encoding="utf-8"?>
<comments xmlns="http://schemas.openxmlformats.org/spreadsheetml/2006/main">
  <authors>
    <author>Model Builder</author>
  </authors>
  <commentList>
    <comment ref="C5" authorId="0" shapeId="0">
      <text>
        <t>Source: data/loans.md — International Financial Services
Extracted: 2025-11-30</t>
      </text>
    </comment>
    <comment ref="C6" authorId="0" shapeId="0">
      <text>
        <t>Source: data/loans.md — International Financial Services
Extracted: 2025-11-30</t>
      </text>
    </comment>
    <comment ref="C7" authorId="0" shapeId="0">
      <text>
        <t>Source: data/loans.md — International Financial Services
Extracted: 2025-11-30</t>
      </text>
    </comment>
    <comment ref="C8" authorId="0" shapeId="0">
      <text>
        <t>Source: data/loans.md — International Financial Services
Extracted: 2025-11-30</t>
      </text>
    </comment>
    <comment ref="C9" authorId="0" shapeId="0">
      <text>
        <t>Source: data/loans.md — International Financial Services
Extracted: 2025-11-30</t>
      </text>
    </comment>
    <comment ref="C10" authorId="0" shapeId="0">
      <text>
        <t>Source: data/loans.md — International Financial Services
Extracted: 2025-11-30</t>
      </text>
    </comment>
    <comment ref="C15" authorId="0" shapeId="0">
      <text>
        <t>Source: data/loans.md — International Financial Services
Extracted: 2025-11-30</t>
      </text>
    </comment>
    <comment ref="C16" authorId="0" shapeId="0">
      <text>
        <t>Source: data/loans.md — International Financial Services
Extracted: 2025-11-30</t>
      </text>
    </comment>
    <comment ref="C17" authorId="0" shapeId="0">
      <text>
        <t>Source: data/loans.md — International Financial Services
Extracted: 2025-11-30</t>
      </text>
    </comment>
    <comment ref="C18" authorId="0" shapeId="0">
      <text>
        <t>Source: data/loans.md — International Financial Services
Extracted: 2025-11-30</t>
      </text>
    </comment>
    <comment ref="C19" authorId="0" shapeId="0">
      <text>
        <t>Source: data/loans.md — International Financial Services
Extracted: 2025-11-30</t>
      </text>
    </comment>
    <comment ref="C20" authorId="0" shapeId="0">
      <text>
        <t>Source: data/loans.md — International Financial Services
Extracted: 2025-11-30</t>
      </text>
    </comment>
    <comment ref="C21" authorId="0" shapeId="0">
      <text>
        <t>Source: data/loans.md — International Financial Services
Extracted: 2025-11-30</t>
      </text>
    </comment>
    <comment ref="C22" authorId="0" shapeId="0">
      <text>
        <t>Source: data/loans.md — International Financial Services
Extracted: 2025-11-30</t>
      </text>
    </comment>
    <comment ref="C23" authorId="0" shapeId="0">
      <text>
        <t>Source: data/loans.md — International Financial Services
Extracted: 2025-11-30</t>
      </text>
    </comment>
    <comment ref="C34" authorId="0" shapeId="0">
      <text>
        <t>Loan: International Financial, Trucks 801-808. Source: data/loans.md</t>
      </text>
    </comment>
    <comment ref="D34" authorId="0" shapeId="0">
      <text>
        <t>Loan: International Financial, AMORTIZING. Source: data/loans.md</t>
      </text>
    </comment>
    <comment ref="E34" authorId="0" shapeId="0">
      <text>
        <t>Loan: International Financial, AMORTIZING. Source: data/loans.md</t>
      </text>
    </comment>
    <comment ref="F34" authorId="0" shapeId="0">
      <text>
        <t>Loan: International Financial, AMORTIZING. Source: data/loans.md</t>
      </text>
    </comment>
    <comment ref="C35" authorId="0" shapeId="0">
      <text>
        <t>Loan: International Financial, Trucks 801-808. Source: data/loans.md</t>
      </text>
    </comment>
    <comment ref="D35" authorId="0" shapeId="0">
      <text>
        <t>Loan: International Financial, AMORTIZING. Source: data/loans.md</t>
      </text>
    </comment>
    <comment ref="E35" authorId="0" shapeId="0">
      <text>
        <t>Loan: International Financial, AMORTIZING. Source: data/loans.md</t>
      </text>
    </comment>
    <comment ref="F35" authorId="0" shapeId="0">
      <text>
        <t>Loan: International Financial, AMORTIZING. Source: data/loans.md</t>
      </text>
    </comment>
    <comment ref="C36" authorId="0" shapeId="0">
      <text>
        <t>Loan: International Financial, Trucks 801-808. Source: data/loans.md</t>
      </text>
    </comment>
    <comment ref="D36" authorId="0" shapeId="0">
      <text>
        <t>Loan: International Financial, AMORTIZING. Source: data/loans.md</t>
      </text>
    </comment>
    <comment ref="E36" authorId="0" shapeId="0">
      <text>
        <t>Loan: International Financial, AMORTIZING. Source: data/loans.md</t>
      </text>
    </comment>
    <comment ref="F36" authorId="0" shapeId="0">
      <text>
        <t>Loan: International Financial, AMORTIZING. Source: data/loans.md</t>
      </text>
    </comment>
    <comment ref="C37" authorId="0" shapeId="0">
      <text>
        <t>Loan: International Financial, Trucks 801-808. Source: data/loans.md</t>
      </text>
    </comment>
    <comment ref="D37" authorId="0" shapeId="0">
      <text>
        <t>Loan: International Financial, AMORTIZING. Source: data/loans.md</t>
      </text>
    </comment>
    <comment ref="E37" authorId="0" shapeId="0">
      <text>
        <t>Loan: International Financial, AMORTIZING. Source: data/loans.md</t>
      </text>
    </comment>
    <comment ref="F37" authorId="0" shapeId="0">
      <text>
        <t>Loan: International Financial, AMORTIZING. Source: data/loans.md</t>
      </text>
    </comment>
    <comment ref="C38" authorId="0" shapeId="0">
      <text>
        <t>Loan: International Financial, Trucks 801-808. Source: data/loans.md</t>
      </text>
    </comment>
    <comment ref="D38" authorId="0" shapeId="0">
      <text>
        <t>Loan: International Financial, AMORTIZING. Source: data/loans.md</t>
      </text>
    </comment>
    <comment ref="E38" authorId="0" shapeId="0">
      <text>
        <t>Loan: International Financial, AMORTIZING. Source: data/loans.md</t>
      </text>
    </comment>
    <comment ref="F38" authorId="0" shapeId="0">
      <text>
        <t>Loan: International Financial, AMORTIZING. Source: data/loans.md</t>
      </text>
    </comment>
    <comment ref="C39" authorId="0" shapeId="0">
      <text>
        <t>Loan: International Financial, Trucks 801-808. Source: data/loans.md</t>
      </text>
    </comment>
    <comment ref="D39" authorId="0" shapeId="0">
      <text>
        <t>Loan: International Financial, AMORTIZING. Source: data/loans.md</t>
      </text>
    </comment>
    <comment ref="E39" authorId="0" shapeId="0">
      <text>
        <t>Loan: International Financial, AMORTIZING. Source: data/loans.md</t>
      </text>
    </comment>
    <comment ref="F39" authorId="0" shapeId="0">
      <text>
        <t>Loan: International Financial, AMORTIZING. Source: data/loans.md</t>
      </text>
    </comment>
    <comment ref="C40" authorId="0" shapeId="0">
      <text>
        <t>Loan: International Financial, Trucks 801-808. Source: data/loans.md</t>
      </text>
    </comment>
    <comment ref="D40" authorId="0" shapeId="0">
      <text>
        <t>Loan: International Financial, AMORTIZING. Source: data/loans.md</t>
      </text>
    </comment>
    <comment ref="E40" authorId="0" shapeId="0">
      <text>
        <t>Loan: International Financial, AMORTIZING. Source: data/loans.md</t>
      </text>
    </comment>
    <comment ref="F40" authorId="0" shapeId="0">
      <text>
        <t>Loan: International Financial, AMORTIZING. Source: data/loans.md</t>
      </text>
    </comment>
    <comment ref="C41" authorId="0" shapeId="0">
      <text>
        <t>Loan: International Financial, Trucks 801-808. Source: data/loans.md</t>
      </text>
    </comment>
    <comment ref="D41" authorId="0" shapeId="0">
      <text>
        <t>Loan: International Financial, AMORTIZING. Source: data/loans.md</t>
      </text>
    </comment>
    <comment ref="E41" authorId="0" shapeId="0">
      <text>
        <t>Loan: International Financial, AMORTIZING. Source: data/loans.md</t>
      </text>
    </comment>
    <comment ref="F41" authorId="0" shapeId="0">
      <text>
        <t>Loan: International Financial, AMORTIZING. Source: data/loans.md</t>
      </text>
    </comment>
    <comment ref="C42" authorId="0" shapeId="0">
      <text>
        <t>Loan: International Financial, Trucks 801-808. Source: data/loans.md</t>
      </text>
    </comment>
    <comment ref="D42" authorId="0" shapeId="0">
      <text>
        <t>Loan: International Financial, AMORTIZING. Source: data/loans.md</t>
      </text>
    </comment>
    <comment ref="E42" authorId="0" shapeId="0">
      <text>
        <t>Loan: International Financial, AMORTIZING. Source: data/loans.md</t>
      </text>
    </comment>
    <comment ref="F42" authorId="0" shapeId="0">
      <text>
        <t>Loan: International Financial, AMORTIZING. Source: data/loans.md</t>
      </text>
    </comment>
    <comment ref="C43" authorId="0" shapeId="0">
      <text>
        <t>Loan: International Financial, Trucks 801-808. Source: data/loans.md</t>
      </text>
    </comment>
    <comment ref="D43" authorId="0" shapeId="0">
      <text>
        <t>Loan: International Financial, AMORTIZING. Source: data/loans.md</t>
      </text>
    </comment>
    <comment ref="E43" authorId="0" shapeId="0">
      <text>
        <t>Loan: International Financial, AMORTIZING. Source: data/loans.md</t>
      </text>
    </comment>
    <comment ref="F43" authorId="0" shapeId="0">
      <text>
        <t>Loan: International Financial, AMORTIZING. Source: data/loans.md</t>
      </text>
    </comment>
    <comment ref="C44" authorId="0" shapeId="0">
      <text>
        <t>Loan: International Financial, Trucks 801-808. Source: data/loans.md</t>
      </text>
    </comment>
    <comment ref="D44" authorId="0" shapeId="0">
      <text>
        <t>Loan: International Financial, AMORTIZING. Source: data/loans.md</t>
      </text>
    </comment>
    <comment ref="E44" authorId="0" shapeId="0">
      <text>
        <t>Loan: International Financial, AMORTIZING. Source: data/loans.md</t>
      </text>
    </comment>
    <comment ref="F44" authorId="0" shapeId="0">
      <text>
        <t>Loan: International Financial, AMORTIZING. Source: data/loans.md</t>
      </text>
    </comment>
    <comment ref="C45" authorId="0" shapeId="0">
      <text>
        <t>Loan: International Financial, Trucks 801-808. Source: data/loans.md</t>
      </text>
    </comment>
    <comment ref="D45" authorId="0" shapeId="0">
      <text>
        <t>Loan: International Financial, AMORTIZING. Source: data/loans.md</t>
      </text>
    </comment>
    <comment ref="E45" authorId="0" shapeId="0">
      <text>
        <t>Loan: International Financial, AMORTIZING. Source: data/loans.md</t>
      </text>
    </comment>
    <comment ref="F45" authorId="0" shapeId="0">
      <text>
        <t>Loan: International Financial, AMORTIZING. Source: data/loans.md</t>
      </text>
    </comment>
    <comment ref="C46" authorId="0" shapeId="0">
      <text>
        <t>Loan: International Financial, Trucks 801-808. Source: data/loans.md</t>
      </text>
    </comment>
    <comment ref="D46" authorId="0" shapeId="0">
      <text>
        <t>Loan: International Financial, AMORTIZING. Source: data/loans.md</t>
      </text>
    </comment>
    <comment ref="E46" authorId="0" shapeId="0">
      <text>
        <t>Loan: International Financial, AMORTIZING. Source: data/loans.md</t>
      </text>
    </comment>
    <comment ref="F46" authorId="0" shapeId="0">
      <text>
        <t>Loan: International Financial, AMORTIZING. Source: data/loans.md</t>
      </text>
    </comment>
    <comment ref="C47" authorId="0" shapeId="0">
      <text>
        <t>Loan: International Financial, Trucks 801-808. Source: data/loans.md</t>
      </text>
    </comment>
    <comment ref="D47" authorId="0" shapeId="0">
      <text>
        <t>Loan: International Financial, AMORTIZING. Source: data/loans.md</t>
      </text>
    </comment>
    <comment ref="E47" authorId="0" shapeId="0">
      <text>
        <t>Loan: International Financial, AMORTIZING. Source: data/loans.md</t>
      </text>
    </comment>
    <comment ref="F47" authorId="0" shapeId="0">
      <text>
        <t>Loan: International Financial, AMORTIZING. Source: data/loans.md</t>
      </text>
    </comment>
    <comment ref="C48" authorId="0" shapeId="0">
      <text>
        <t>Loan: International Financial, Trucks 801-808. Source: data/loans.md</t>
      </text>
    </comment>
    <comment ref="D48" authorId="0" shapeId="0">
      <text>
        <t>Loan: International Financial, AMORTIZING. Source: data/loans.md</t>
      </text>
    </comment>
    <comment ref="E48" authorId="0" shapeId="0">
      <text>
        <t>Loan: International Financial, AMORTIZING. Source: data/loans.md</t>
      </text>
    </comment>
    <comment ref="F48" authorId="0" shapeId="0">
      <text>
        <t>Loan: International Financial, AMORTIZING. Source: data/loans.md</t>
      </text>
    </comment>
    <comment ref="C49" authorId="0" shapeId="0">
      <text>
        <t>Loan: International Financial, Trucks 801-808. Source: data/loans.md</t>
      </text>
    </comment>
    <comment ref="D49" authorId="0" shapeId="0">
      <text>
        <t>Loan: International Financial, AMORTIZING. Source: data/loans.md</t>
      </text>
    </comment>
    <comment ref="E49" authorId="0" shapeId="0">
      <text>
        <t>Loan: International Financial, AMORTIZING. Source: data/loans.md</t>
      </text>
    </comment>
    <comment ref="F49" authorId="0" shapeId="0">
      <text>
        <t>Loan: International Financial, AMORTIZING. Source: data/loans.md</t>
      </text>
    </comment>
    <comment ref="C50" authorId="0" shapeId="0">
      <text>
        <t>Loan: International Financial, Trucks 801-808. Source: data/loans.md</t>
      </text>
    </comment>
    <comment ref="D50" authorId="0" shapeId="0">
      <text>
        <t>Loan: International Financial, AMORTIZING. Source: data/loans.md</t>
      </text>
    </comment>
    <comment ref="E50" authorId="0" shapeId="0">
      <text>
        <t>Loan: International Financial, AMORTIZING. Source: data/loans.md</t>
      </text>
    </comment>
    <comment ref="F50" authorId="0" shapeId="0">
      <text>
        <t>Loan: International Financial, AMORTIZING. Source: data/loans.md</t>
      </text>
    </comment>
    <comment ref="C51" authorId="0" shapeId="0">
      <text>
        <t>Loan: International Financial, Trucks 801-808. Source: data/loans.md</t>
      </text>
    </comment>
    <comment ref="D51" authorId="0" shapeId="0">
      <text>
        <t>Loan: International Financial, AMORTIZING. Source: data/loans.md</t>
      </text>
    </comment>
    <comment ref="E51" authorId="0" shapeId="0">
      <text>
        <t>Loan: International Financial, AMORTIZING. Source: data/loans.md</t>
      </text>
    </comment>
    <comment ref="F51" authorId="0" shapeId="0">
      <text>
        <t>Loan: International Financial, AMORTIZING. Source: data/loans.md</t>
      </text>
    </comment>
    <comment ref="C52" authorId="0" shapeId="0">
      <text>
        <t>Loan: International Financial, Trucks 801-808. Source: data/loans.md</t>
      </text>
    </comment>
    <comment ref="D52" authorId="0" shapeId="0">
      <text>
        <t>Loan: International Financial, AMORTIZING. Source: data/loans.md</t>
      </text>
    </comment>
    <comment ref="E52" authorId="0" shapeId="0">
      <text>
        <t>Loan: International Financial, AMORTIZING. Source: data/loans.md</t>
      </text>
    </comment>
    <comment ref="F52" authorId="0" shapeId="0">
      <text>
        <t>Loan: International Financial, AMORTIZING. Source: data/loans.md</t>
      </text>
    </comment>
    <comment ref="C53" authorId="0" shapeId="0">
      <text>
        <t>Loan: International Financial, Trucks 801-808. Source: data/loans.md</t>
      </text>
    </comment>
    <comment ref="D53" authorId="0" shapeId="0">
      <text>
        <t>Loan: International Financial, AMORTIZING. Source: data/loans.md</t>
      </text>
    </comment>
    <comment ref="E53" authorId="0" shapeId="0">
      <text>
        <t>Loan: International Financial, AMORTIZING. Source: data/loans.md</t>
      </text>
    </comment>
    <comment ref="F53" authorId="0" shapeId="0">
      <text>
        <t>Loan: International Financial, AMORTIZING. Source: data/loans.md</t>
      </text>
    </comment>
    <comment ref="C54" authorId="0" shapeId="0">
      <text>
        <t>Loan: International Financial, Trucks 801-808. Source: data/loans.md</t>
      </text>
    </comment>
    <comment ref="D54" authorId="0" shapeId="0">
      <text>
        <t>Loan: International Financial, AMORTIZING. Source: data/loans.md</t>
      </text>
    </comment>
    <comment ref="E54" authorId="0" shapeId="0">
      <text>
        <t>Loan: International Financial, AMORTIZING. Source: data/loans.md</t>
      </text>
    </comment>
    <comment ref="F54" authorId="0" shapeId="0">
      <text>
        <t>Loan: International Financial, AMORTIZING. Source: data/loans.md</t>
      </text>
    </comment>
    <comment ref="C55" authorId="0" shapeId="0">
      <text>
        <t>Loan: International Financial, Trucks 801-808. Source: data/loans.md</t>
      </text>
    </comment>
    <comment ref="D55" authorId="0" shapeId="0">
      <text>
        <t>Loan: International Financial, AMORTIZING. Source: data/loans.md</t>
      </text>
    </comment>
    <comment ref="E55" authorId="0" shapeId="0">
      <text>
        <t>Loan: International Financial, AMORTIZING. Source: data/loans.md</t>
      </text>
    </comment>
    <comment ref="F55" authorId="0" shapeId="0">
      <text>
        <t>Loan: International Financial, AMORTIZING. Source: data/loans.md</t>
      </text>
    </comment>
    <comment ref="C56" authorId="0" shapeId="0">
      <text>
        <t>Loan: International Financial, Trucks 801-808. Source: data/loans.md</t>
      </text>
    </comment>
    <comment ref="D56" authorId="0" shapeId="0">
      <text>
        <t>Loan: International Financial, AMORTIZING. Source: data/loans.md</t>
      </text>
    </comment>
    <comment ref="E56" authorId="0" shapeId="0">
      <text>
        <t>Loan: International Financial, AMORTIZING. Source: data/loans.md</t>
      </text>
    </comment>
    <comment ref="F56" authorId="0" shapeId="0">
      <text>
        <t>Loan: International Financial, AMORTIZING. Source: data/loans.md</t>
      </text>
    </comment>
    <comment ref="C57" authorId="0" shapeId="0">
      <text>
        <t>Loan: International Financial, Trucks 801-808. Source: data/loans.md</t>
      </text>
    </comment>
    <comment ref="D57" authorId="0" shapeId="0">
      <text>
        <t>Loan: International Financial, AMORTIZING. Source: data/loans.md</t>
      </text>
    </comment>
    <comment ref="E57" authorId="0" shapeId="0">
      <text>
        <t>Loan: International Financial, AMORTIZING. Source: data/loans.md</t>
      </text>
    </comment>
    <comment ref="F57" authorId="0" shapeId="0">
      <text>
        <t>Loan: International Financial, AMORTIZING. Source: data/loans.md</t>
      </text>
    </comment>
    <comment ref="C58" authorId="0" shapeId="0">
      <text>
        <t>Loan: International Financial, Trucks 801-808. Source: data/loans.md</t>
      </text>
    </comment>
    <comment ref="D58" authorId="0" shapeId="0">
      <text>
        <t>Loan: International Financial, AMORTIZING. Source: data/loans.md</t>
      </text>
    </comment>
    <comment ref="E58" authorId="0" shapeId="0">
      <text>
        <t>Loan: International Financial, AMORTIZING. Source: data/loans.md</t>
      </text>
    </comment>
    <comment ref="F58" authorId="0" shapeId="0">
      <text>
        <t>Loan: International Financial, AMORTIZING. Source: data/loans.md</t>
      </text>
    </comment>
    <comment ref="C59" authorId="0" shapeId="0">
      <text>
        <t>Loan: International Financial, Trucks 801-808. Source: data/loans.md</t>
      </text>
    </comment>
    <comment ref="D59" authorId="0" shapeId="0">
      <text>
        <t>Loan: International Financial, AMORTIZING. Source: data/loans.md</t>
      </text>
    </comment>
    <comment ref="E59" authorId="0" shapeId="0">
      <text>
        <t>Loan: International Financial, AMORTIZING. Source: data/loans.md</t>
      </text>
    </comment>
    <comment ref="F59" authorId="0" shapeId="0">
      <text>
        <t>Loan: International Financial, AMORTIZING. Source: data/loans.md</t>
      </text>
    </comment>
    <comment ref="C60" authorId="0" shapeId="0">
      <text>
        <t>Loan: International Financial, Trucks 801-808. Source: data/loans.md</t>
      </text>
    </comment>
    <comment ref="D60" authorId="0" shapeId="0">
      <text>
        <t>Loan: International Financial, AMORTIZING. Source: data/loans.md</t>
      </text>
    </comment>
    <comment ref="E60" authorId="0" shapeId="0">
      <text>
        <t>Loan: International Financial, AMORTIZING. Source: data/loans.md</t>
      </text>
    </comment>
    <comment ref="F60" authorId="0" shapeId="0">
      <text>
        <t>Loan: International Financial, AMORTIZING. Source: data/loans.md</t>
      </text>
    </comment>
    <comment ref="C61" authorId="0" shapeId="0">
      <text>
        <t>Loan: International Financial, Trucks 801-808. Source: data/loans.md</t>
      </text>
    </comment>
    <comment ref="D61" authorId="0" shapeId="0">
      <text>
        <t>Loan: International Financial, AMORTIZING. Source: data/loans.md</t>
      </text>
    </comment>
    <comment ref="E61" authorId="0" shapeId="0">
      <text>
        <t>Loan: International Financial, AMORTIZING. Source: data/loans.md</t>
      </text>
    </comment>
    <comment ref="F61" authorId="0" shapeId="0">
      <text>
        <t>Loan: International Financial, AMORTIZING. Source: data/loans.md</t>
      </text>
    </comment>
    <comment ref="C62" authorId="0" shapeId="0">
      <text>
        <t>Loan: International Financial, Trucks 801-808. Source: data/loans.md</t>
      </text>
    </comment>
    <comment ref="D62" authorId="0" shapeId="0">
      <text>
        <t>Loan: International Financial, AMORTIZING. Source: data/loans.md</t>
      </text>
    </comment>
    <comment ref="E62" authorId="0" shapeId="0">
      <text>
        <t>Loan: International Financial, AMORTIZING. Source: data/loans.md</t>
      </text>
    </comment>
    <comment ref="F62" authorId="0" shapeId="0">
      <text>
        <t>Loan: International Financial, AMORTIZING. Source: data/loans.md</t>
      </text>
    </comment>
    <comment ref="C63" authorId="0" shapeId="0">
      <text>
        <t>Loan: International Financial, Trucks 801-808. Source: data/loans.md</t>
      </text>
    </comment>
    <comment ref="D63" authorId="0" shapeId="0">
      <text>
        <t>Loan: International Financial, AMORTIZING. Source: data/loans.md</t>
      </text>
    </comment>
    <comment ref="E63" authorId="0" shapeId="0">
      <text>
        <t>Loan: International Financial, AMORTIZING. Source: data/loans.md</t>
      </text>
    </comment>
    <comment ref="F63" authorId="0" shapeId="0">
      <text>
        <t>Loan: International Financial, AMORTIZING. Source: data/loans.md</t>
      </text>
    </comment>
    <comment ref="C64" authorId="0" shapeId="0">
      <text>
        <t>Loan: International Financial, Trucks 801-808. Source: data/loans.md</t>
      </text>
    </comment>
    <comment ref="D64" authorId="0" shapeId="0">
      <text>
        <t>Loan: International Financial, AMORTIZING. Source: data/loans.md</t>
      </text>
    </comment>
    <comment ref="E64" authorId="0" shapeId="0">
      <text>
        <t>Loan: International Financial, AMORTIZING. Source: data/loans.md</t>
      </text>
    </comment>
    <comment ref="F64" authorId="0" shapeId="0">
      <text>
        <t>Loan: International Financial, AMORTIZING. Source: data/loans.md</t>
      </text>
    </comment>
    <comment ref="C65" authorId="0" shapeId="0">
      <text>
        <t>Loan: International Financial, Trucks 801-808. Source: data/loans.md</t>
      </text>
    </comment>
    <comment ref="D65" authorId="0" shapeId="0">
      <text>
        <t>Loan: International Financial, AMORTIZING. Source: data/loans.md</t>
      </text>
    </comment>
    <comment ref="E65" authorId="0" shapeId="0">
      <text>
        <t>Loan: International Financial, AMORTIZING. Source: data/loans.md</t>
      </text>
    </comment>
    <comment ref="F65" authorId="0" shapeId="0">
      <text>
        <t>Loan: International Financial, AMORTIZING. Source: data/loans.md</t>
      </text>
    </comment>
    <comment ref="C66" authorId="0" shapeId="0">
      <text>
        <t>Loan: International Financial, Trucks 801-808. Source: data/loans.md</t>
      </text>
    </comment>
    <comment ref="D66" authorId="0" shapeId="0">
      <text>
        <t>Loan: International Financial, AMORTIZING. Source: data/loans.md</t>
      </text>
    </comment>
    <comment ref="E66" authorId="0" shapeId="0">
      <text>
        <t>Loan: International Financial, AMORTIZING. Source: data/loans.md</t>
      </text>
    </comment>
    <comment ref="F66" authorId="0" shapeId="0">
      <text>
        <t>Loan: International Financial, AMORTIZING. Source: data/loans.md</t>
      </text>
    </comment>
    <comment ref="C67" authorId="0" shapeId="0">
      <text>
        <t>Loan: International Financial, Trucks 801-808. Source: data/loans.md</t>
      </text>
    </comment>
    <comment ref="D67" authorId="0" shapeId="0">
      <text>
        <t>Loan: International Financial, AMORTIZING. Source: data/loans.md</t>
      </text>
    </comment>
    <comment ref="E67" authorId="0" shapeId="0">
      <text>
        <t>Loan: International Financial, AMORTIZING. Source: data/loans.md</t>
      </text>
    </comment>
    <comment ref="F67" authorId="0" shapeId="0">
      <text>
        <t>Loan: International Financial, AMORTIZING. Source: data/loans.md</t>
      </text>
    </comment>
    <comment ref="C68" authorId="0" shapeId="0">
      <text>
        <t>Loan: International Financial, Trucks 801-808. Source: data/loans.md</t>
      </text>
    </comment>
    <comment ref="D68" authorId="0" shapeId="0">
      <text>
        <t>Loan: International Financial, AMORTIZING. Source: data/loans.md</t>
      </text>
    </comment>
    <comment ref="E68" authorId="0" shapeId="0">
      <text>
        <t>Loan: International Financial, AMORTIZING. Source: data/loans.md</t>
      </text>
    </comment>
    <comment ref="F68" authorId="0" shapeId="0">
      <text>
        <t>Loan: International Financial, AMORTIZING. Source: data/loans.md</t>
      </text>
    </comment>
    <comment ref="C69" authorId="0" shapeId="0">
      <text>
        <t>Loan: International Financial, Trucks 801-808. Source: data/loans.md</t>
      </text>
    </comment>
    <comment ref="D69" authorId="0" shapeId="0">
      <text>
        <t>Loan: International Financial, AMORTIZING. Source: data/loans.md</t>
      </text>
    </comment>
    <comment ref="E69" authorId="0" shapeId="0">
      <text>
        <t>Loan: International Financial, AMORTIZING. Source: data/loans.md</t>
      </text>
    </comment>
    <comment ref="F69" authorId="0" shapeId="0">
      <text>
        <t>Loan: International Financial, AMORTIZING. Source: data/loans.md</t>
      </text>
    </comment>
    <comment ref="C70" authorId="0" shapeId="0">
      <text>
        <t>Loan: International Financial, Trucks 801-808. Source: data/loans.md</t>
      </text>
    </comment>
    <comment ref="D70" authorId="0" shapeId="0">
      <text>
        <t>Loan: International Financial, AMORTIZING. Source: data/loans.md</t>
      </text>
    </comment>
    <comment ref="E70" authorId="0" shapeId="0">
      <text>
        <t>Loan: International Financial, AMORTIZING. Source: data/loans.md</t>
      </text>
    </comment>
    <comment ref="F70" authorId="0" shapeId="0">
      <text>
        <t>Loan: International Financial, AMORTIZING. Source: data/loans.md</t>
      </text>
    </comment>
    <comment ref="C71" authorId="0" shapeId="0">
      <text>
        <t>Loan: International Financial, Trucks 801-808. Source: data/loans.md</t>
      </text>
    </comment>
    <comment ref="D71" authorId="0" shapeId="0">
      <text>
        <t>Loan: International Financial, AMORTIZING. Source: data/loans.md</t>
      </text>
    </comment>
    <comment ref="E71" authorId="0" shapeId="0">
      <text>
        <t>Loan: International Financial, AMORTIZING. Source: data/loans.md</t>
      </text>
    </comment>
    <comment ref="F71" authorId="0" shapeId="0">
      <text>
        <t>Loan: International Financial, AMORTIZING. Source: data/loans.md</t>
      </text>
    </comment>
    <comment ref="C72" authorId="0" shapeId="0">
      <text>
        <t>Loan: International Financial, Trucks 801-808. Source: data/loans.md</t>
      </text>
    </comment>
    <comment ref="D72" authorId="0" shapeId="0">
      <text>
        <t>Loan: International Financial, AMORTIZING. Source: data/loans.md</t>
      </text>
    </comment>
    <comment ref="E72" authorId="0" shapeId="0">
      <text>
        <t>Loan: International Financial, AMORTIZING. Source: data/loans.md</t>
      </text>
    </comment>
    <comment ref="F72" authorId="0" shapeId="0">
      <text>
        <t>Loan: International Financial, AMORTIZING. Source: data/loans.md</t>
      </text>
    </comment>
    <comment ref="C73" authorId="0" shapeId="0">
      <text>
        <t>Loan: International Financial, Trucks 801-808. Source: data/loans.md</t>
      </text>
    </comment>
    <comment ref="D73" authorId="0" shapeId="0">
      <text>
        <t>Loan: International Financial, AMORTIZING. Source: data/loans.md</t>
      </text>
    </comment>
    <comment ref="E73" authorId="0" shapeId="0">
      <text>
        <t>Loan: International Financial, AMORTIZING. Source: data/loans.md</t>
      </text>
    </comment>
    <comment ref="F73" authorId="0" shapeId="0">
      <text>
        <t>Loan: International Financial, AMORTIZING. Source: data/loans.md</t>
      </text>
    </comment>
    <comment ref="C74" authorId="0" shapeId="0">
      <text>
        <t>Loan: International Financial, Trucks 801-808. Source: data/loans.md</t>
      </text>
    </comment>
    <comment ref="D74" authorId="0" shapeId="0">
      <text>
        <t>Loan: International Financial, AMORTIZING. Source: data/loans.md</t>
      </text>
    </comment>
    <comment ref="E74" authorId="0" shapeId="0">
      <text>
        <t>Loan: International Financial, AMORTIZING. Source: data/loans.md</t>
      </text>
    </comment>
    <comment ref="F74" authorId="0" shapeId="0">
      <text>
        <t>Loan: International Financial, AMORTIZING. Source: data/loans.md</t>
      </text>
    </comment>
    <comment ref="C75" authorId="0" shapeId="0">
      <text>
        <t>Loan: International Financial, Trucks 801-808. Source: data/loans.md</t>
      </text>
    </comment>
    <comment ref="D75" authorId="0" shapeId="0">
      <text>
        <t>Loan: International Financial, AMORTIZING. Source: data/loans.md</t>
      </text>
    </comment>
    <comment ref="E75" authorId="0" shapeId="0">
      <text>
        <t>Loan: International Financial, AMORTIZING. Source: data/loans.md</t>
      </text>
    </comment>
    <comment ref="F75" authorId="0" shapeId="0">
      <text>
        <t>Loan: International Financial, AMORTIZING. Source: data/loans.md</t>
      </text>
    </comment>
    <comment ref="C76" authorId="0" shapeId="0">
      <text>
        <t>Loan: International Financial, Trucks 801-808. Source: data/loans.md</t>
      </text>
    </comment>
    <comment ref="D76" authorId="0" shapeId="0">
      <text>
        <t>Loan: International Financial, AMORTIZING. Source: data/loans.md</t>
      </text>
    </comment>
    <comment ref="E76" authorId="0" shapeId="0">
      <text>
        <t>Loan: International Financial, AMORTIZING. Source: data/loans.md</t>
      </text>
    </comment>
    <comment ref="F76" authorId="0" shapeId="0">
      <text>
        <t>Loan: International Financial, AMORTIZING. Source: data/loans.md</t>
      </text>
    </comment>
    <comment ref="C77" authorId="0" shapeId="0">
      <text>
        <t>Loan: International Financial, Trucks 801-808. Source: data/loans.md</t>
      </text>
    </comment>
    <comment ref="D77" authorId="0" shapeId="0">
      <text>
        <t>Loan: International Financial, AMORTIZING. Source: data/loans.md</t>
      </text>
    </comment>
    <comment ref="E77" authorId="0" shapeId="0">
      <text>
        <t>Loan: International Financial, AMORTIZING. Source: data/loans.md</t>
      </text>
    </comment>
    <comment ref="F77" authorId="0" shapeId="0">
      <text>
        <t>Loan: International Financial, AMORTIZING. Source: data/loans.md</t>
      </text>
    </comment>
    <comment ref="C78" authorId="0" shapeId="0">
      <text>
        <t>Loan: International Financial, Trucks 801-808. Source: data/loans.md</t>
      </text>
    </comment>
    <comment ref="D78" authorId="0" shapeId="0">
      <text>
        <t>Loan: International Financial, AMORTIZING. Source: data/loans.md</t>
      </text>
    </comment>
    <comment ref="E78" authorId="0" shapeId="0">
      <text>
        <t>Loan: International Financial, AMORTIZING. Source: data/loans.md</t>
      </text>
    </comment>
    <comment ref="F78" authorId="0" shapeId="0">
      <text>
        <t>Loan: International Financial, AMORTIZING. Source: data/loans.md</t>
      </text>
    </comment>
    <comment ref="C79" authorId="0" shapeId="0">
      <text>
        <t>Loan: International Financial, Trucks 801-808. Source: data/loans.md</t>
      </text>
    </comment>
    <comment ref="D79" authorId="0" shapeId="0">
      <text>
        <t>Loan: International Financial, AMORTIZING. Source: data/loans.md</t>
      </text>
    </comment>
    <comment ref="E79" authorId="0" shapeId="0">
      <text>
        <t>Loan: International Financial, AMORTIZING. Source: data/loans.md</t>
      </text>
    </comment>
    <comment ref="F79" authorId="0" shapeId="0">
      <text>
        <t>Loan: International Financial, AMORTIZING. Source: data/loans.md</t>
      </text>
    </comment>
    <comment ref="C80" authorId="0" shapeId="0">
      <text>
        <t>Loan: International Financial, Trucks 801-808. Source: data/loans.md</t>
      </text>
    </comment>
    <comment ref="D80" authorId="0" shapeId="0">
      <text>
        <t>Loan: International Financial, AMORTIZING. Source: data/loans.md</t>
      </text>
    </comment>
    <comment ref="E80" authorId="0" shapeId="0">
      <text>
        <t>Loan: International Financial, AMORTIZING. Source: data/loans.md</t>
      </text>
    </comment>
    <comment ref="F80" authorId="0" shapeId="0">
      <text>
        <t>Loan: International Financial, AMORTIZING. Source: data/loans.md</t>
      </text>
    </comment>
    <comment ref="C81" authorId="0" shapeId="0">
      <text>
        <t>Loan: International Financial, Trucks 801-808. Source: data/loans.md</t>
      </text>
    </comment>
    <comment ref="D81" authorId="0" shapeId="0">
      <text>
        <t>Loan: International Financial, AMORTIZING. Source: data/loans.md</t>
      </text>
    </comment>
    <comment ref="E81" authorId="0" shapeId="0">
      <text>
        <t>Loan: International Financial, AMORTIZING. Source: data/loans.md</t>
      </text>
    </comment>
    <comment ref="F81" authorId="0" shapeId="0">
      <text>
        <t>Loan: International Financial, AMORTIZING. Source: data/loans.md</t>
      </text>
    </comment>
    <comment ref="C82" authorId="0" shapeId="0">
      <text>
        <t>Loan: International Financial, Trucks 801-808. Source: data/loans.md</t>
      </text>
    </comment>
    <comment ref="D82" authorId="0" shapeId="0">
      <text>
        <t>Loan: International Financial, AMORTIZING. Source: data/loans.md</t>
      </text>
    </comment>
    <comment ref="E82" authorId="0" shapeId="0">
      <text>
        <t>Loan: International Financial, AMORTIZING. Source: data/loans.md</t>
      </text>
    </comment>
    <comment ref="F82" authorId="0" shapeId="0">
      <text>
        <t>Loan: International Financial, AMORTIZING. Source: data/loans.md</t>
      </text>
    </comment>
    <comment ref="C83" authorId="0" shapeId="0">
      <text>
        <t>Loan: International Financial, Trucks 801-808. Source: data/loans.md</t>
      </text>
    </comment>
    <comment ref="D83" authorId="0" shapeId="0">
      <text>
        <t>Loan: International Financial, AMORTIZING. Source: data/loans.md</t>
      </text>
    </comment>
    <comment ref="E83" authorId="0" shapeId="0">
      <text>
        <t>Loan: International Financial, AMORTIZING. Source: data/loans.md</t>
      </text>
    </comment>
    <comment ref="F83" authorId="0" shapeId="0">
      <text>
        <t>Loan: International Financial, AMORTIZING. Source: data/loans.md</t>
      </text>
    </comment>
    <comment ref="C84" authorId="0" shapeId="0">
      <text>
        <t>Loan: International Financial, Trucks 801-808. Source: data/loans.md</t>
      </text>
    </comment>
    <comment ref="D84" authorId="0" shapeId="0">
      <text>
        <t>Loan: International Financial, AMORTIZING. Source: data/loans.md</t>
      </text>
    </comment>
    <comment ref="E84" authorId="0" shapeId="0">
      <text>
        <t>Loan: International Financial, AMORTIZING. Source: data/loans.md</t>
      </text>
    </comment>
    <comment ref="F84" authorId="0" shapeId="0">
      <text>
        <t>Loan: International Financial, AMORTIZING. Source: data/loans.md</t>
      </text>
    </comment>
    <comment ref="C85" authorId="0" shapeId="0">
      <text>
        <t>Loan: International Financial, Trucks 801-808. Source: data/loans.md</t>
      </text>
    </comment>
    <comment ref="D85" authorId="0" shapeId="0">
      <text>
        <t>Loan: International Financial, AMORTIZING. Source: data/loans.md</t>
      </text>
    </comment>
    <comment ref="E85" authorId="0" shapeId="0">
      <text>
        <t>Loan: International Financial, AMORTIZING. Source: data/loans.md</t>
      </text>
    </comment>
    <comment ref="F85" authorId="0" shapeId="0">
      <text>
        <t>Loan: International Financial, AMORTIZING. Source: data/loans.md</t>
      </text>
    </comment>
    <comment ref="C86" authorId="0" shapeId="0">
      <text>
        <t>Loan: International Financial, Trucks 801-808. Source: data/loans.md</t>
      </text>
    </comment>
    <comment ref="D86" authorId="0" shapeId="0">
      <text>
        <t>Loan: International Financial, AMORTIZING. Source: data/loans.md</t>
      </text>
    </comment>
    <comment ref="E86" authorId="0" shapeId="0">
      <text>
        <t>Loan: International Financial, AMORTIZING. Source: data/loans.md</t>
      </text>
    </comment>
    <comment ref="F86" authorId="0" shapeId="0">
      <text>
        <t>Loan: International Financial, AMORTIZING. Source: data/loans.md</t>
      </text>
    </comment>
    <comment ref="C87" authorId="0" shapeId="0">
      <text>
        <t>Loan: International Financial, Trucks 801-808. Source: data/loans.md</t>
      </text>
    </comment>
    <comment ref="D87" authorId="0" shapeId="0">
      <text>
        <t>Loan: International Financial, AMORTIZING. Source: data/loans.md</t>
      </text>
    </comment>
    <comment ref="E87" authorId="0" shapeId="0">
      <text>
        <t>Loan: International Financial, AMORTIZING. Source: data/loans.md</t>
      </text>
    </comment>
    <comment ref="F87" authorId="0" shapeId="0">
      <text>
        <t>Loan: International Financial, AMORTIZING. Source: data/loans.md</t>
      </text>
    </comment>
    <comment ref="C88" authorId="0" shapeId="0">
      <text>
        <t>Loan: International Financial, Trucks 801-808. Source: data/loans.md</t>
      </text>
    </comment>
    <comment ref="D88" authorId="0" shapeId="0">
      <text>
        <t>Loan: International Financial, AMORTIZING. Source: data/loans.md</t>
      </text>
    </comment>
    <comment ref="E88" authorId="0" shapeId="0">
      <text>
        <t>Loan: International Financial, AMORTIZING. Source: data/loans.md</t>
      </text>
    </comment>
    <comment ref="F88" authorId="0" shapeId="0">
      <text>
        <t>Loan: International Financial, AMORTIZING. Source: data/loans.md</t>
      </text>
    </comment>
    <comment ref="C89" authorId="0" shapeId="0">
      <text>
        <t>Loan: International Financial, Trucks 801-808. Source: data/loans.md</t>
      </text>
    </comment>
    <comment ref="D89" authorId="0" shapeId="0">
      <text>
        <t>Loan: International Financial, AMORTIZING. Source: data/loans.md</t>
      </text>
    </comment>
    <comment ref="E89" authorId="0" shapeId="0">
      <text>
        <t>Loan: International Financial, AMORTIZING. Source: data/loans.md</t>
      </text>
    </comment>
    <comment ref="F89" authorId="0" shapeId="0">
      <text>
        <t>Loan: International Financial, AMORTIZING. Source: data/loans.md</t>
      </text>
    </comment>
    <comment ref="C90" authorId="0" shapeId="0">
      <text>
        <t>Loan: International Financial, Trucks 801-808. Source: data/loans.md</t>
      </text>
    </comment>
    <comment ref="D90" authorId="0" shapeId="0">
      <text>
        <t>Loan: International Financial, AMORTIZING. Source: data/loans.md</t>
      </text>
    </comment>
    <comment ref="E90" authorId="0" shapeId="0">
      <text>
        <t>Loan: International Financial, AMORTIZING. Source: data/loans.md</t>
      </text>
    </comment>
    <comment ref="F90" authorId="0" shapeId="0">
      <text>
        <t>Loan: International Financial, AMORTIZING. Source: data/loans.md</t>
      </text>
    </comment>
    <comment ref="C91" authorId="0" shapeId="0">
      <text>
        <t>Loan: International Financial, Trucks 801-808. Source: data/loans.md</t>
      </text>
    </comment>
    <comment ref="D91" authorId="0" shapeId="0">
      <text>
        <t>Loan: International Financial, AMORTIZING. Source: data/loans.md</t>
      </text>
    </comment>
    <comment ref="E91" authorId="0" shapeId="0">
      <text>
        <t>Loan: International Financial, AMORTIZING. Source: data/loans.md</t>
      </text>
    </comment>
    <comment ref="F91" authorId="0" shapeId="0">
      <text>
        <t>Loan: International Financial, AMORTIZING. Source: data/loans.md</t>
      </text>
    </comment>
    <comment ref="C92" authorId="0" shapeId="0">
      <text>
        <t>Loan: International Financial, Trucks 801-808. Source: data/loans.md</t>
      </text>
    </comment>
    <comment ref="D92" authorId="0" shapeId="0">
      <text>
        <t>Loan: International Financial, AMORTIZING. Source: data/loans.md</t>
      </text>
    </comment>
    <comment ref="E92" authorId="0" shapeId="0">
      <text>
        <t>Loan: International Financial, AMORTIZING. Source: data/loans.md</t>
      </text>
    </comment>
    <comment ref="F92" authorId="0" shapeId="0">
      <text>
        <t>Loan: International Financial, AMORTIZING. Source: data/loans.md</t>
      </text>
    </comment>
    <comment ref="C93" authorId="0" shapeId="0">
      <text>
        <t>Loan: International Financial, Trucks 801-808. Source: data/loans.md</t>
      </text>
    </comment>
    <comment ref="D93" authorId="0" shapeId="0">
      <text>
        <t>Loan: International Financial, AMORTIZING. Source: data/loans.md</t>
      </text>
    </comment>
    <comment ref="E93" authorId="0" shapeId="0">
      <text>
        <t>Loan: International Financial, AMORTIZING. Source: data/loans.md</t>
      </text>
    </comment>
    <comment ref="F93" authorId="0" shapeId="0">
      <text>
        <t>Loan: International Financial, AMORTIZING. Source: data/loans.md</t>
      </text>
    </comment>
    <comment ref="C94" authorId="0" shapeId="0">
      <text>
        <t>Loan: International Financial, Trucks 801-808. Source: data/loans.md</t>
      </text>
    </comment>
    <comment ref="D94" authorId="0" shapeId="0">
      <text>
        <t>Loan: International Financial, AMORTIZING. Source: data/loans.md</t>
      </text>
    </comment>
    <comment ref="E94" authorId="0" shapeId="0">
      <text>
        <t>Loan: International Financial, AMORTIZING. Source: data/loans.md</t>
      </text>
    </comment>
    <comment ref="F94" authorId="0" shapeId="0">
      <text>
        <t>Loan: International Financial, AMORTIZING. Source: data/loans.md</t>
      </text>
    </comment>
    <comment ref="C95" authorId="0" shapeId="0">
      <text>
        <t>Loan: International Financial, Trucks 801-808. Source: data/loans.md</t>
      </text>
    </comment>
    <comment ref="D95" authorId="0" shapeId="0">
      <text>
        <t>Loan: International Financial, AMORTIZING. Source: data/loans.md</t>
      </text>
    </comment>
    <comment ref="E95" authorId="0" shapeId="0">
      <text>
        <t>Loan: International Financial, AMORTIZING. Source: data/loans.md</t>
      </text>
    </comment>
    <comment ref="F95" authorId="0" shapeId="0">
      <text>
        <t>Loan: International Financial, AMORTIZING. Source: data/loans.md</t>
      </text>
    </comment>
    <comment ref="C96" authorId="0" shapeId="0">
      <text>
        <t>Loan: International Financial, Trucks 801-808. Source: data/loans.md</t>
      </text>
    </comment>
    <comment ref="D96" authorId="0" shapeId="0">
      <text>
        <t>Loan: International Financial, AMORTIZING. Source: data/loans.md</t>
      </text>
    </comment>
    <comment ref="E96" authorId="0" shapeId="0">
      <text>
        <t>Loan: International Financial, AMORTIZING. Source: data/loans.md</t>
      </text>
    </comment>
    <comment ref="F96" authorId="0" shapeId="0">
      <text>
        <t>Loan: International Financial, AMORTIZING. Source: data/loans.md</t>
      </text>
    </comment>
    <comment ref="C97" authorId="0" shapeId="0">
      <text>
        <t>Loan: International Financial, Trucks 801-808. Source: data/loans.md</t>
      </text>
    </comment>
    <comment ref="D97" authorId="0" shapeId="0">
      <text>
        <t>Loan: International Financial, AMORTIZING. Source: data/loans.md</t>
      </text>
    </comment>
    <comment ref="E97" authorId="0" shapeId="0">
      <text>
        <t>Loan: International Financial, AMORTIZING. Source: data/loans.md</t>
      </text>
    </comment>
    <comment ref="F97" authorId="0" shapeId="0">
      <text>
        <t>Loan: International Financial, AMORTIZING. Source: data/loans.md</t>
      </text>
    </comment>
    <comment ref="C98" authorId="0" shapeId="0">
      <text>
        <t>Loan: International Financial, Trucks 801-808. Source: data/loans.md</t>
      </text>
    </comment>
    <comment ref="D98" authorId="0" shapeId="0">
      <text>
        <t>Loan: International Financial, AMORTIZING. Source: data/loans.md</t>
      </text>
    </comment>
    <comment ref="E98" authorId="0" shapeId="0">
      <text>
        <t>Loan: International Financial, AMORTIZING. Source: data/loans.md</t>
      </text>
    </comment>
    <comment ref="F98" authorId="0" shapeId="0">
      <text>
        <t>Loan: International Financial, AMORTIZING. Source: data/loans.md</t>
      </text>
    </comment>
    <comment ref="C99" authorId="0" shapeId="0">
      <text>
        <t>Loan: International Financial, Trucks 801-808. Source: data/loans.md</t>
      </text>
    </comment>
    <comment ref="D99" authorId="0" shapeId="0">
      <text>
        <t>Loan: International Financial, AMORTIZING. Source: data/loans.md</t>
      </text>
    </comment>
    <comment ref="E99" authorId="0" shapeId="0">
      <text>
        <t>Loan: International Financial, AMORTIZING. Source: data/loans.md</t>
      </text>
    </comment>
    <comment ref="F99" authorId="0" shapeId="0">
      <text>
        <t>Loan: International Financial, AMORTIZING. Source: data/loans.md</t>
      </text>
    </comment>
    <comment ref="C100" authorId="0" shapeId="0">
      <text>
        <t>Loan: International Financial, Trucks 801-808. Source: data/loans.md</t>
      </text>
    </comment>
    <comment ref="D100" authorId="0" shapeId="0">
      <text>
        <t>Loan: International Financial, AMORTIZING. Source: data/loans.md</t>
      </text>
    </comment>
    <comment ref="E100" authorId="0" shapeId="0">
      <text>
        <t>Loan: International Financial, AMORTIZING. Source: data/loans.md</t>
      </text>
    </comment>
    <comment ref="F100" authorId="0" shapeId="0">
      <text>
        <t>Loan: International Financial, AMORTIZING. Source: data/loans.md</t>
      </text>
    </comment>
    <comment ref="C101" authorId="0" shapeId="0">
      <text>
        <t>Loan: International Financial, Trucks 801-808. Source: data/loans.md</t>
      </text>
    </comment>
    <comment ref="D101" authorId="0" shapeId="0">
      <text>
        <t>Loan: International Financial, AMORTIZING. Source: data/loans.md</t>
      </text>
    </comment>
    <comment ref="E101" authorId="0" shapeId="0">
      <text>
        <t>Loan: International Financial, AMORTIZING. Source: data/loans.md</t>
      </text>
    </comment>
    <comment ref="F101" authorId="0" shapeId="0">
      <text>
        <t>Loan: International Financial, AMORTIZING. Source: data/loans.md</t>
      </text>
    </comment>
    <comment ref="C102" authorId="0" shapeId="0">
      <text>
        <t>Loan: International Financial, Trucks 801-808. Source: data/loans.md</t>
      </text>
    </comment>
    <comment ref="D102" authorId="0" shapeId="0">
      <text>
        <t>Loan: International Financial, AMORTIZING. Source: data/loans.md</t>
      </text>
    </comment>
    <comment ref="E102" authorId="0" shapeId="0">
      <text>
        <t>Loan: International Financial, AMORTIZING. Source: data/loans.md</t>
      </text>
    </comment>
    <comment ref="F102" authorId="0" shapeId="0">
      <text>
        <t>Loan: International Financial, AMORTIZING. Source: data/loans.md</t>
      </text>
    </comment>
    <comment ref="D104" authorId="0" shapeId="0">
      <text>
        <t>Sum of rows 34-102: Total Interest</t>
      </text>
    </comment>
    <comment ref="E104" authorId="0" shapeId="0">
      <text>
        <t>Sum of rows 34-102: Total Principal</t>
      </text>
    </comment>
    <comment ref="C109" authorId="0" shapeId="0">
      <text>
        <t>Source: data/loans.md — International Financial Services
Extracted: 2025-11-30</t>
      </text>
    </comment>
    <comment ref="C110" authorId="0" shapeId="0">
      <text>
        <t>Source: data/loans.md — International Financial Services
Extracted: 2025-11-30</t>
      </text>
    </comment>
    <comment ref="C111" authorId="0" shapeId="0">
      <text>
        <t>Source: data/loans.md — International Financial Services
Extracted: 2025-11-30</t>
      </text>
    </comment>
    <comment ref="C112" authorId="0" shapeId="0">
      <text>
        <t>Source: data/loans.md — International Financial Services
Extracted: 2025-11-30</t>
      </text>
    </comment>
    <comment ref="C113" authorId="0" shapeId="0">
      <text>
        <t>Source: data/loans.md — International Financial Services
Extracted: 2025-11-30</t>
      </text>
    </comment>
    <comment ref="C114" authorId="0" shapeId="0">
      <text>
        <t>Source: data/loans.md — International Financial Services
Extracted: 2025-11-30</t>
      </text>
    </comment>
    <comment ref="C115" authorId="0" shapeId="0">
      <text>
        <t>Source: data/loans.md — International Financial Services
Extracted: 2025-11-30</t>
      </text>
    </comment>
    <comment ref="C116" authorId="0" shapeId="0">
      <text>
        <t>Source: data/loans.md — International Financial Services
Extracted: 2025-11-30</t>
      </text>
    </comment>
    <comment ref="C117" authorId="0" shapeId="0">
      <text>
        <t>Source: data/loans.md — International Financial Services
Extracted: 2025-11-30</t>
      </text>
    </comment>
    <comment ref="C129" authorId="0" shapeId="0">
      <text>
        <t>Loan: International Financial, Service Contract. Source: data/loans.md</t>
      </text>
    </comment>
    <comment ref="D129" authorId="0" shapeId="0">
      <text>
        <t>Loan: International Financial, ZERO_INTEREST service contract. Source: data/loans.md</t>
      </text>
    </comment>
    <comment ref="E129" authorId="0" shapeId="0">
      <text>
        <t>Loan: International Financial, ZERO_INTEREST. Source: data/loans.md</t>
      </text>
    </comment>
    <comment ref="F129" authorId="0" shapeId="0">
      <text>
        <t>Loan: International Financial, ZERO_INTEREST. Source: data/loans.md</t>
      </text>
    </comment>
    <comment ref="C130" authorId="0" shapeId="0">
      <text>
        <t>Loan: International Financial, Service Contract. Source: data/loans.md</t>
      </text>
    </comment>
    <comment ref="D130" authorId="0" shapeId="0">
      <text>
        <t>Loan: International Financial, ZERO_INTEREST service contract. Source: data/loans.md</t>
      </text>
    </comment>
    <comment ref="E130" authorId="0" shapeId="0">
      <text>
        <t>Loan: International Financial, ZERO_INTEREST. Source: data/loans.md</t>
      </text>
    </comment>
    <comment ref="F130" authorId="0" shapeId="0">
      <text>
        <t>Loan: International Financial, ZERO_INTEREST. Source: data/loans.md</t>
      </text>
    </comment>
    <comment ref="C131" authorId="0" shapeId="0">
      <text>
        <t>Loan: International Financial, Service Contract. Source: data/loans.md</t>
      </text>
    </comment>
    <comment ref="D131" authorId="0" shapeId="0">
      <text>
        <t>Loan: International Financial, ZERO_INTEREST service contract. Source: data/loans.md</t>
      </text>
    </comment>
    <comment ref="E131" authorId="0" shapeId="0">
      <text>
        <t>Loan: International Financial, ZERO_INTEREST. Source: data/loans.md</t>
      </text>
    </comment>
    <comment ref="F131" authorId="0" shapeId="0">
      <text>
        <t>Loan: International Financial, ZERO_INTEREST. Source: data/loans.md</t>
      </text>
    </comment>
    <comment ref="C132" authorId="0" shapeId="0">
      <text>
        <t>Loan: International Financial, Service Contract. Source: data/loans.md</t>
      </text>
    </comment>
    <comment ref="D132" authorId="0" shapeId="0">
      <text>
        <t>Loan: International Financial, ZERO_INTEREST service contract. Source: data/loans.md</t>
      </text>
    </comment>
    <comment ref="E132" authorId="0" shapeId="0">
      <text>
        <t>Loan: International Financial, ZERO_INTEREST. Source: data/loans.md</t>
      </text>
    </comment>
    <comment ref="F132" authorId="0" shapeId="0">
      <text>
        <t>Loan: International Financial, ZERO_INTEREST. Source: data/loans.md</t>
      </text>
    </comment>
    <comment ref="C133" authorId="0" shapeId="0">
      <text>
        <t>Loan: International Financial, Service Contract. Source: data/loans.md</t>
      </text>
    </comment>
    <comment ref="D133" authorId="0" shapeId="0">
      <text>
        <t>Loan: International Financial, ZERO_INTEREST service contract. Source: data/loans.md</t>
      </text>
    </comment>
    <comment ref="E133" authorId="0" shapeId="0">
      <text>
        <t>Loan: International Financial, ZERO_INTEREST. Source: data/loans.md</t>
      </text>
    </comment>
    <comment ref="F133" authorId="0" shapeId="0">
      <text>
        <t>Loan: International Financial, ZERO_INTEREST. Source: data/loans.md</t>
      </text>
    </comment>
    <comment ref="C134" authorId="0" shapeId="0">
      <text>
        <t>Loan: International Financial, Service Contract. Source: data/loans.md</t>
      </text>
    </comment>
    <comment ref="D134" authorId="0" shapeId="0">
      <text>
        <t>Loan: International Financial, ZERO_INTEREST service contract. Source: data/loans.md</t>
      </text>
    </comment>
    <comment ref="E134" authorId="0" shapeId="0">
      <text>
        <t>Loan: International Financial, ZERO_INTEREST. Source: data/loans.md</t>
      </text>
    </comment>
    <comment ref="F134" authorId="0" shapeId="0">
      <text>
        <t>Loan: International Financial, ZERO_INTEREST. Source: data/loans.md</t>
      </text>
    </comment>
    <comment ref="C135" authorId="0" shapeId="0">
      <text>
        <t>Loan: International Financial, Service Contract. Source: data/loans.md</t>
      </text>
    </comment>
    <comment ref="D135" authorId="0" shapeId="0">
      <text>
        <t>Loan: International Financial, ZERO_INTEREST service contract. Source: data/loans.md</t>
      </text>
    </comment>
    <comment ref="E135" authorId="0" shapeId="0">
      <text>
        <t>Loan: International Financial, ZERO_INTEREST. Source: data/loans.md</t>
      </text>
    </comment>
    <comment ref="F135" authorId="0" shapeId="0">
      <text>
        <t>Loan: International Financial, ZERO_INTEREST. Source: data/loans.md</t>
      </text>
    </comment>
    <comment ref="C136" authorId="0" shapeId="0">
      <text>
        <t>Loan: International Financial, Service Contract. Source: data/loans.md</t>
      </text>
    </comment>
    <comment ref="D136" authorId="0" shapeId="0">
      <text>
        <t>Loan: International Financial, ZERO_INTEREST service contract. Source: data/loans.md</t>
      </text>
    </comment>
    <comment ref="E136" authorId="0" shapeId="0">
      <text>
        <t>Loan: International Financial, ZERO_INTEREST. Source: data/loans.md</t>
      </text>
    </comment>
    <comment ref="F136" authorId="0" shapeId="0">
      <text>
        <t>Loan: International Financial, ZERO_INTEREST. Source: data/loans.md</t>
      </text>
    </comment>
    <comment ref="C137" authorId="0" shapeId="0">
      <text>
        <t>Loan: International Financial, Service Contract. Source: data/loans.md</t>
      </text>
    </comment>
    <comment ref="D137" authorId="0" shapeId="0">
      <text>
        <t>Loan: International Financial, ZERO_INTEREST service contract. Source: data/loans.md</t>
      </text>
    </comment>
    <comment ref="E137" authorId="0" shapeId="0">
      <text>
        <t>Loan: International Financial, ZERO_INTEREST. Source: data/loans.md</t>
      </text>
    </comment>
    <comment ref="F137" authorId="0" shapeId="0">
      <text>
        <t>Loan: International Financial, ZERO_INTEREST. Source: data/loans.md</t>
      </text>
    </comment>
    <comment ref="C138" authorId="0" shapeId="0">
      <text>
        <t>Loan: International Financial, Service Contract. Source: data/loans.md</t>
      </text>
    </comment>
    <comment ref="D138" authorId="0" shapeId="0">
      <text>
        <t>Loan: International Financial, ZERO_INTEREST service contract. Source: data/loans.md</t>
      </text>
    </comment>
    <comment ref="E138" authorId="0" shapeId="0">
      <text>
        <t>Loan: International Financial, ZERO_INTEREST. Source: data/loans.md</t>
      </text>
    </comment>
    <comment ref="F138" authorId="0" shapeId="0">
      <text>
        <t>Loan: International Financial, ZERO_INTEREST. Source: data/loans.md</t>
      </text>
    </comment>
    <comment ref="C139" authorId="0" shapeId="0">
      <text>
        <t>Loan: International Financial, Service Contract. Source: data/loans.md</t>
      </text>
    </comment>
    <comment ref="D139" authorId="0" shapeId="0">
      <text>
        <t>Loan: International Financial, ZERO_INTEREST service contract. Source: data/loans.md</t>
      </text>
    </comment>
    <comment ref="E139" authorId="0" shapeId="0">
      <text>
        <t>Loan: International Financial, ZERO_INTEREST. Source: data/loans.md</t>
      </text>
    </comment>
    <comment ref="F139" authorId="0" shapeId="0">
      <text>
        <t>Loan: International Financial, ZERO_INTEREST. Source: data/loans.md</t>
      </text>
    </comment>
    <comment ref="C140" authorId="0" shapeId="0">
      <text>
        <t>Loan: International Financial, Service Contract. Source: data/loans.md</t>
      </text>
    </comment>
    <comment ref="D140" authorId="0" shapeId="0">
      <text>
        <t>Loan: International Financial, ZERO_INTEREST service contract. Source: data/loans.md</t>
      </text>
    </comment>
    <comment ref="E140" authorId="0" shapeId="0">
      <text>
        <t>Loan: International Financial, ZERO_INTEREST. Source: data/loans.md</t>
      </text>
    </comment>
    <comment ref="F140" authorId="0" shapeId="0">
      <text>
        <t>Loan: International Financial, ZERO_INTEREST. Source: data/loans.md</t>
      </text>
    </comment>
    <comment ref="C141" authorId="0" shapeId="0">
      <text>
        <t>Loan: International Financial, Service Contract. Source: data/loans.md</t>
      </text>
    </comment>
    <comment ref="D141" authorId="0" shapeId="0">
      <text>
        <t>Loan: International Financial, ZERO_INTEREST service contract. Source: data/loans.md</t>
      </text>
    </comment>
    <comment ref="E141" authorId="0" shapeId="0">
      <text>
        <t>Loan: International Financial, ZERO_INTEREST. Source: data/loans.md</t>
      </text>
    </comment>
    <comment ref="F141" authorId="0" shapeId="0">
      <text>
        <t>Loan: International Financial, ZERO_INTEREST. Source: data/loans.md</t>
      </text>
    </comment>
    <comment ref="C142" authorId="0" shapeId="0">
      <text>
        <t>Loan: International Financial, Service Contract. Source: data/loans.md</t>
      </text>
    </comment>
    <comment ref="D142" authorId="0" shapeId="0">
      <text>
        <t>Loan: International Financial, ZERO_INTEREST service contract. Source: data/loans.md</t>
      </text>
    </comment>
    <comment ref="E142" authorId="0" shapeId="0">
      <text>
        <t>Loan: International Financial, ZERO_INTEREST. Source: data/loans.md</t>
      </text>
    </comment>
    <comment ref="F142" authorId="0" shapeId="0">
      <text>
        <t>Loan: International Financial, ZERO_INTEREST. Source: data/loans.md</t>
      </text>
    </comment>
    <comment ref="C143" authorId="0" shapeId="0">
      <text>
        <t>Loan: International Financial, Service Contract. Source: data/loans.md</t>
      </text>
    </comment>
    <comment ref="D143" authorId="0" shapeId="0">
      <text>
        <t>Loan: International Financial, ZERO_INTEREST service contract. Source: data/loans.md</t>
      </text>
    </comment>
    <comment ref="E143" authorId="0" shapeId="0">
      <text>
        <t>Loan: International Financial, ZERO_INTEREST. Source: data/loans.md</t>
      </text>
    </comment>
    <comment ref="F143" authorId="0" shapeId="0">
      <text>
        <t>Loan: International Financial, ZERO_INTEREST. Source: data/loans.md</t>
      </text>
    </comment>
    <comment ref="C144" authorId="0" shapeId="0">
      <text>
        <t>Loan: International Financial, Service Contract. Source: data/loans.md</t>
      </text>
    </comment>
    <comment ref="D144" authorId="0" shapeId="0">
      <text>
        <t>Loan: International Financial, ZERO_INTEREST service contract. Source: data/loans.md</t>
      </text>
    </comment>
    <comment ref="E144" authorId="0" shapeId="0">
      <text>
        <t>Loan: International Financial, ZERO_INTEREST. Source: data/loans.md</t>
      </text>
    </comment>
    <comment ref="F144" authorId="0" shapeId="0">
      <text>
        <t>Loan: International Financial, ZERO_INTEREST. Source: data/loans.md</t>
      </text>
    </comment>
    <comment ref="C145" authorId="0" shapeId="0">
      <text>
        <t>Loan: International Financial, Service Contract. Source: data/loans.md</t>
      </text>
    </comment>
    <comment ref="D145" authorId="0" shapeId="0">
      <text>
        <t>Loan: International Financial, ZERO_INTEREST service contract. Source: data/loans.md</t>
      </text>
    </comment>
    <comment ref="E145" authorId="0" shapeId="0">
      <text>
        <t>Loan: International Financial, ZERO_INTEREST. Source: data/loans.md</t>
      </text>
    </comment>
    <comment ref="F145" authorId="0" shapeId="0">
      <text>
        <t>Loan: International Financial, ZERO_INTEREST. Source: data/loans.md</t>
      </text>
    </comment>
    <comment ref="C146" authorId="0" shapeId="0">
      <text>
        <t>Loan: International Financial, Service Contract. Source: data/loans.md</t>
      </text>
    </comment>
    <comment ref="D146" authorId="0" shapeId="0">
      <text>
        <t>Loan: International Financial, ZERO_INTEREST service contract. Source: data/loans.md</t>
      </text>
    </comment>
    <comment ref="E146" authorId="0" shapeId="0">
      <text>
        <t>Loan: International Financial, ZERO_INTEREST. Source: data/loans.md</t>
      </text>
    </comment>
    <comment ref="F146" authorId="0" shapeId="0">
      <text>
        <t>Loan: International Financial, ZERO_INTEREST. Source: data/loans.md</t>
      </text>
    </comment>
    <comment ref="C147" authorId="0" shapeId="0">
      <text>
        <t>Loan: International Financial, Service Contract. Source: data/loans.md</t>
      </text>
    </comment>
    <comment ref="D147" authorId="0" shapeId="0">
      <text>
        <t>Loan: International Financial, ZERO_INTEREST service contract. Source: data/loans.md</t>
      </text>
    </comment>
    <comment ref="E147" authorId="0" shapeId="0">
      <text>
        <t>Loan: International Financial, ZERO_INTEREST. Source: data/loans.md</t>
      </text>
    </comment>
    <comment ref="F147" authorId="0" shapeId="0">
      <text>
        <t>Loan: International Financial, ZERO_INTEREST. Source: data/loans.md</t>
      </text>
    </comment>
    <comment ref="C148" authorId="0" shapeId="0">
      <text>
        <t>Loan: International Financial, Service Contract. Source: data/loans.md</t>
      </text>
    </comment>
    <comment ref="D148" authorId="0" shapeId="0">
      <text>
        <t>Loan: International Financial, ZERO_INTEREST service contract. Source: data/loans.md</t>
      </text>
    </comment>
    <comment ref="E148" authorId="0" shapeId="0">
      <text>
        <t>Loan: International Financial, ZERO_INTEREST. Source: data/loans.md</t>
      </text>
    </comment>
    <comment ref="F148" authorId="0" shapeId="0">
      <text>
        <t>Loan: International Financial, ZERO_INTEREST. Source: data/loans.md</t>
      </text>
    </comment>
    <comment ref="C149" authorId="0" shapeId="0">
      <text>
        <t>Loan: International Financial, Service Contract. Source: data/loans.md</t>
      </text>
    </comment>
    <comment ref="D149" authorId="0" shapeId="0">
      <text>
        <t>Loan: International Financial, ZERO_INTEREST service contract. Source: data/loans.md</t>
      </text>
    </comment>
    <comment ref="E149" authorId="0" shapeId="0">
      <text>
        <t>Loan: International Financial, ZERO_INTEREST. Source: data/loans.md</t>
      </text>
    </comment>
    <comment ref="F149" authorId="0" shapeId="0">
      <text>
        <t>Loan: International Financial, ZERO_INTEREST. Source: data/loans.md</t>
      </text>
    </comment>
    <comment ref="C150" authorId="0" shapeId="0">
      <text>
        <t>Loan: International Financial, Service Contract. Source: data/loans.md</t>
      </text>
    </comment>
    <comment ref="D150" authorId="0" shapeId="0">
      <text>
        <t>Loan: International Financial, ZERO_INTEREST service contract. Source: data/loans.md</t>
      </text>
    </comment>
    <comment ref="E150" authorId="0" shapeId="0">
      <text>
        <t>Loan: International Financial, ZERO_INTEREST. Source: data/loans.md</t>
      </text>
    </comment>
    <comment ref="F150" authorId="0" shapeId="0">
      <text>
        <t>Loan: International Financial, ZERO_INTEREST. Source: data/loans.md</t>
      </text>
    </comment>
    <comment ref="C151" authorId="0" shapeId="0">
      <text>
        <t>Loan: International Financial, Service Contract. Source: data/loans.md</t>
      </text>
    </comment>
    <comment ref="D151" authorId="0" shapeId="0">
      <text>
        <t>Loan: International Financial, ZERO_INTEREST service contract. Source: data/loans.md</t>
      </text>
    </comment>
    <comment ref="E151" authorId="0" shapeId="0">
      <text>
        <t>Loan: International Financial, ZERO_INTEREST. Source: data/loans.md</t>
      </text>
    </comment>
    <comment ref="F151" authorId="0" shapeId="0">
      <text>
        <t>Loan: International Financial, ZERO_INTEREST. Source: data/loans.md</t>
      </text>
    </comment>
    <comment ref="C152" authorId="0" shapeId="0">
      <text>
        <t>Loan: International Financial, Service Contract. Source: data/loans.md</t>
      </text>
    </comment>
    <comment ref="D152" authorId="0" shapeId="0">
      <text>
        <t>Loan: International Financial, ZERO_INTEREST service contract. Source: data/loans.md</t>
      </text>
    </comment>
    <comment ref="E152" authorId="0" shapeId="0">
      <text>
        <t>Loan: International Financial, ZERO_INTEREST. Source: data/loans.md</t>
      </text>
    </comment>
    <comment ref="F152" authorId="0" shapeId="0">
      <text>
        <t>Loan: International Financial, ZERO_INTEREST. Source: data/loans.md</t>
      </text>
    </comment>
    <comment ref="C153" authorId="0" shapeId="0">
      <text>
        <t>Loan: International Financial, Service Contract. Source: data/loans.md</t>
      </text>
    </comment>
    <comment ref="D153" authorId="0" shapeId="0">
      <text>
        <t>Loan: International Financial, ZERO_INTEREST service contract. Source: data/loans.md</t>
      </text>
    </comment>
    <comment ref="E153" authorId="0" shapeId="0">
      <text>
        <t>Loan: International Financial, ZERO_INTEREST. Source: data/loans.md</t>
      </text>
    </comment>
    <comment ref="F153" authorId="0" shapeId="0">
      <text>
        <t>Loan: International Financial, ZERO_INTEREST. Source: data/loans.md</t>
      </text>
    </comment>
    <comment ref="C154" authorId="0" shapeId="0">
      <text>
        <t>Loan: International Financial, Service Contract. Source: data/loans.md</t>
      </text>
    </comment>
    <comment ref="D154" authorId="0" shapeId="0">
      <text>
        <t>Loan: International Financial, ZERO_INTEREST service contract. Source: data/loans.md</t>
      </text>
    </comment>
    <comment ref="E154" authorId="0" shapeId="0">
      <text>
        <t>Loan: International Financial, ZERO_INTEREST. Source: data/loans.md</t>
      </text>
    </comment>
    <comment ref="F154" authorId="0" shapeId="0">
      <text>
        <t>Loan: International Financial, ZERO_INTEREST. Source: data/loans.md</t>
      </text>
    </comment>
    <comment ref="C155" authorId="0" shapeId="0">
      <text>
        <t>Loan: International Financial, Service Contract. Source: data/loans.md</t>
      </text>
    </comment>
    <comment ref="D155" authorId="0" shapeId="0">
      <text>
        <t>Loan: International Financial, ZERO_INTEREST service contract. Source: data/loans.md</t>
      </text>
    </comment>
    <comment ref="E155" authorId="0" shapeId="0">
      <text>
        <t>Loan: International Financial, ZERO_INTEREST. Source: data/loans.md</t>
      </text>
    </comment>
    <comment ref="F155" authorId="0" shapeId="0">
      <text>
        <t>Loan: International Financial, ZERO_INTEREST. Source: data/loans.md</t>
      </text>
    </comment>
    <comment ref="C156" authorId="0" shapeId="0">
      <text>
        <t>Loan: International Financial, Service Contract. Source: data/loans.md</t>
      </text>
    </comment>
    <comment ref="D156" authorId="0" shapeId="0">
      <text>
        <t>Loan: International Financial, ZERO_INTEREST service contract. Source: data/loans.md</t>
      </text>
    </comment>
    <comment ref="E156" authorId="0" shapeId="0">
      <text>
        <t>Loan: International Financial, ZERO_INTEREST. Source: data/loans.md</t>
      </text>
    </comment>
    <comment ref="F156" authorId="0" shapeId="0">
      <text>
        <t>Loan: International Financial, ZERO_INTEREST. Source: data/loans.md</t>
      </text>
    </comment>
    <comment ref="C157" authorId="0" shapeId="0">
      <text>
        <t>Loan: International Financial, Service Contract. Source: data/loans.md</t>
      </text>
    </comment>
    <comment ref="D157" authorId="0" shapeId="0">
      <text>
        <t>Loan: International Financial, ZERO_INTEREST service contract. Source: data/loans.md</t>
      </text>
    </comment>
    <comment ref="E157" authorId="0" shapeId="0">
      <text>
        <t>Loan: International Financial, ZERO_INTEREST. Source: data/loans.md</t>
      </text>
    </comment>
    <comment ref="F157" authorId="0" shapeId="0">
      <text>
        <t>Loan: International Financial, ZERO_INTEREST. Source: data/loans.md</t>
      </text>
    </comment>
    <comment ref="C158" authorId="0" shapeId="0">
      <text>
        <t>Loan: International Financial, Service Contract. Source: data/loans.md</t>
      </text>
    </comment>
    <comment ref="D158" authorId="0" shapeId="0">
      <text>
        <t>Loan: International Financial, ZERO_INTEREST service contract. Source: data/loans.md</t>
      </text>
    </comment>
    <comment ref="E158" authorId="0" shapeId="0">
      <text>
        <t>Loan: International Financial, ZERO_INTEREST. Source: data/loans.md</t>
      </text>
    </comment>
    <comment ref="F158" authorId="0" shapeId="0">
      <text>
        <t>Loan: International Financial, ZERO_INTEREST. Source: data/loans.md</t>
      </text>
    </comment>
    <comment ref="C159" authorId="0" shapeId="0">
      <text>
        <t>Loan: International Financial, Service Contract. Source: data/loans.md</t>
      </text>
    </comment>
    <comment ref="D159" authorId="0" shapeId="0">
      <text>
        <t>Loan: International Financial, ZERO_INTEREST service contract. Source: data/loans.md</t>
      </text>
    </comment>
    <comment ref="E159" authorId="0" shapeId="0">
      <text>
        <t>Loan: International Financial, ZERO_INTEREST. Source: data/loans.md</t>
      </text>
    </comment>
    <comment ref="F159" authorId="0" shapeId="0">
      <text>
        <t>Loan: International Financial, ZERO_INTEREST. Source: data/loans.md</t>
      </text>
    </comment>
    <comment ref="C160" authorId="0" shapeId="0">
      <text>
        <t>Loan: International Financial, Service Contract. Source: data/loans.md</t>
      </text>
    </comment>
    <comment ref="D160" authorId="0" shapeId="0">
      <text>
        <t>Loan: International Financial, ZERO_INTEREST service contract. Source: data/loans.md</t>
      </text>
    </comment>
    <comment ref="E160" authorId="0" shapeId="0">
      <text>
        <t>Loan: International Financial, ZERO_INTEREST. Source: data/loans.md</t>
      </text>
    </comment>
    <comment ref="F160" authorId="0" shapeId="0">
      <text>
        <t>Loan: International Financial, ZERO_INTEREST. Source: data/loans.md</t>
      </text>
    </comment>
    <comment ref="C161" authorId="0" shapeId="0">
      <text>
        <t>Loan: International Financial, Service Contract. Source: data/loans.md</t>
      </text>
    </comment>
    <comment ref="D161" authorId="0" shapeId="0">
      <text>
        <t>Loan: International Financial, ZERO_INTEREST service contract. Source: data/loans.md</t>
      </text>
    </comment>
    <comment ref="E161" authorId="0" shapeId="0">
      <text>
        <t>Loan: International Financial, ZERO_INTEREST. Source: data/loans.md</t>
      </text>
    </comment>
    <comment ref="F161" authorId="0" shapeId="0">
      <text>
        <t>Loan: International Financial, ZERO_INTEREST. Source: data/loans.md</t>
      </text>
    </comment>
    <comment ref="C162" authorId="0" shapeId="0">
      <text>
        <t>Loan: International Financial, Service Contract. Source: data/loans.md</t>
      </text>
    </comment>
    <comment ref="D162" authorId="0" shapeId="0">
      <text>
        <t>Loan: International Financial, ZERO_INTEREST service contract. Source: data/loans.md</t>
      </text>
    </comment>
    <comment ref="E162" authorId="0" shapeId="0">
      <text>
        <t>Loan: International Financial, ZERO_INTEREST. Source: data/loans.md</t>
      </text>
    </comment>
    <comment ref="F162" authorId="0" shapeId="0">
      <text>
        <t>Loan: International Financial, ZERO_INTEREST. Source: data/loans.md</t>
      </text>
    </comment>
    <comment ref="C163" authorId="0" shapeId="0">
      <text>
        <t>Loan: International Financial, Service Contract. Source: data/loans.md</t>
      </text>
    </comment>
    <comment ref="D163" authorId="0" shapeId="0">
      <text>
        <t>Loan: International Financial, ZERO_INTEREST service contract. Source: data/loans.md</t>
      </text>
    </comment>
    <comment ref="E163" authorId="0" shapeId="0">
      <text>
        <t>Loan: International Financial, ZERO_INTEREST. Source: data/loans.md</t>
      </text>
    </comment>
    <comment ref="F163" authorId="0" shapeId="0">
      <text>
        <t>Loan: International Financial, ZERO_INTEREST. Source: data/loans.md</t>
      </text>
    </comment>
    <comment ref="C164" authorId="0" shapeId="0">
      <text>
        <t>Loan: International Financial, Service Contract. Source: data/loans.md</t>
      </text>
    </comment>
    <comment ref="D164" authorId="0" shapeId="0">
      <text>
        <t>Loan: International Financial, ZERO_INTEREST service contract. Source: data/loans.md</t>
      </text>
    </comment>
    <comment ref="E164" authorId="0" shapeId="0">
      <text>
        <t>Loan: International Financial, ZERO_INTEREST. Source: data/loans.md</t>
      </text>
    </comment>
    <comment ref="F164" authorId="0" shapeId="0">
      <text>
        <t>Loan: International Financial, ZERO_INTEREST. Source: data/loans.md</t>
      </text>
    </comment>
    <comment ref="C165" authorId="0" shapeId="0">
      <text>
        <t>Loan: International Financial, Service Contract. Source: data/loans.md</t>
      </text>
    </comment>
    <comment ref="D165" authorId="0" shapeId="0">
      <text>
        <t>Loan: International Financial, ZERO_INTEREST service contract. Source: data/loans.md</t>
      </text>
    </comment>
    <comment ref="E165" authorId="0" shapeId="0">
      <text>
        <t>Loan: International Financial, ZERO_INTEREST. Source: data/loans.md</t>
      </text>
    </comment>
    <comment ref="F165" authorId="0" shapeId="0">
      <text>
        <t>Loan: International Financial, ZERO_INTEREST. Source: data/loans.md</t>
      </text>
    </comment>
    <comment ref="C166" authorId="0" shapeId="0">
      <text>
        <t>Loan: International Financial, Service Contract. Source: data/loans.md</t>
      </text>
    </comment>
    <comment ref="D166" authorId="0" shapeId="0">
      <text>
        <t>Loan: International Financial, ZERO_INTEREST service contract. Source: data/loans.md</t>
      </text>
    </comment>
    <comment ref="E166" authorId="0" shapeId="0">
      <text>
        <t>Loan: International Financial, ZERO_INTEREST. Source: data/loans.md</t>
      </text>
    </comment>
    <comment ref="F166" authorId="0" shapeId="0">
      <text>
        <t>Loan: International Financial, ZERO_INTEREST. Source: data/loans.md</t>
      </text>
    </comment>
    <comment ref="C167" authorId="0" shapeId="0">
      <text>
        <t>Loan: International Financial, Service Contract. Source: data/loans.md</t>
      </text>
    </comment>
    <comment ref="D167" authorId="0" shapeId="0">
      <text>
        <t>Loan: International Financial, ZERO_INTEREST service contract. Source: data/loans.md</t>
      </text>
    </comment>
    <comment ref="E167" authorId="0" shapeId="0">
      <text>
        <t>Loan: International Financial, ZERO_INTEREST. Source: data/loans.md</t>
      </text>
    </comment>
    <comment ref="F167" authorId="0" shapeId="0">
      <text>
        <t>Loan: International Financial, ZERO_INTEREST. Source: data/loans.md</t>
      </text>
    </comment>
    <comment ref="C168" authorId="0" shapeId="0">
      <text>
        <t>Loan: International Financial, Service Contract. Source: data/loans.md</t>
      </text>
    </comment>
    <comment ref="D168" authorId="0" shapeId="0">
      <text>
        <t>Loan: International Financial, ZERO_INTEREST service contract. Source: data/loans.md</t>
      </text>
    </comment>
    <comment ref="E168" authorId="0" shapeId="0">
      <text>
        <t>Loan: International Financial, ZERO_INTEREST. Source: data/loans.md</t>
      </text>
    </comment>
    <comment ref="F168" authorId="0" shapeId="0">
      <text>
        <t>Loan: International Financial, ZERO_INTEREST. Source: data/loans.md</t>
      </text>
    </comment>
    <comment ref="C169" authorId="0" shapeId="0">
      <text>
        <t>Loan: International Financial, Service Contract. Source: data/loans.md</t>
      </text>
    </comment>
    <comment ref="D169" authorId="0" shapeId="0">
      <text>
        <t>Loan: International Financial, ZERO_INTEREST service contract. Source: data/loans.md</t>
      </text>
    </comment>
    <comment ref="E169" authorId="0" shapeId="0">
      <text>
        <t>Loan: International Financial, ZERO_INTEREST. Source: data/loans.md</t>
      </text>
    </comment>
    <comment ref="F169" authorId="0" shapeId="0">
      <text>
        <t>Loan: International Financial, ZERO_INTEREST. Source: data/loans.md</t>
      </text>
    </comment>
    <comment ref="C170" authorId="0" shapeId="0">
      <text>
        <t>Loan: International Financial, Service Contract. Source: data/loans.md</t>
      </text>
    </comment>
    <comment ref="D170" authorId="0" shapeId="0">
      <text>
        <t>Loan: International Financial, ZERO_INTEREST service contract. Source: data/loans.md</t>
      </text>
    </comment>
    <comment ref="E170" authorId="0" shapeId="0">
      <text>
        <t>Loan: International Financial, ZERO_INTEREST. Source: data/loans.md</t>
      </text>
    </comment>
    <comment ref="F170" authorId="0" shapeId="0">
      <text>
        <t>Loan: International Financial, ZERO_INTEREST. Source: data/loans.md</t>
      </text>
    </comment>
    <comment ref="C171" authorId="0" shapeId="0">
      <text>
        <t>Loan: International Financial, Service Contract. Source: data/loans.md</t>
      </text>
    </comment>
    <comment ref="D171" authorId="0" shapeId="0">
      <text>
        <t>Loan: International Financial, ZERO_INTEREST service contract. Source: data/loans.md</t>
      </text>
    </comment>
    <comment ref="E171" authorId="0" shapeId="0">
      <text>
        <t>Loan: International Financial, ZERO_INTEREST. Source: data/loans.md</t>
      </text>
    </comment>
    <comment ref="F171" authorId="0" shapeId="0">
      <text>
        <t>Loan: International Financial, ZERO_INTEREST. Source: data/loans.md</t>
      </text>
    </comment>
    <comment ref="C172" authorId="0" shapeId="0">
      <text>
        <t>Loan: International Financial, Service Contract. Source: data/loans.md</t>
      </text>
    </comment>
    <comment ref="D172" authorId="0" shapeId="0">
      <text>
        <t>Loan: International Financial, ZERO_INTEREST service contract. Source: data/loans.md</t>
      </text>
    </comment>
    <comment ref="E172" authorId="0" shapeId="0">
      <text>
        <t>Loan: International Financial, ZERO_INTEREST. Source: data/loans.md</t>
      </text>
    </comment>
    <comment ref="F172" authorId="0" shapeId="0">
      <text>
        <t>Loan: International Financial, ZERO_INTEREST. Source: data/loans.md</t>
      </text>
    </comment>
    <comment ref="C173" authorId="0" shapeId="0">
      <text>
        <t>Loan: International Financial, Service Contract. Source: data/loans.md</t>
      </text>
    </comment>
    <comment ref="D173" authorId="0" shapeId="0">
      <text>
        <t>Loan: International Financial, ZERO_INTEREST service contract. Source: data/loans.md</t>
      </text>
    </comment>
    <comment ref="E173" authorId="0" shapeId="0">
      <text>
        <t>Loan: International Financial, ZERO_INTEREST. Source: data/loans.md</t>
      </text>
    </comment>
    <comment ref="F173" authorId="0" shapeId="0">
      <text>
        <t>Loan: International Financial, ZERO_INTEREST. Source: data/loans.md</t>
      </text>
    </comment>
    <comment ref="C174" authorId="0" shapeId="0">
      <text>
        <t>Loan: International Financial, Service Contract. Source: data/loans.md</t>
      </text>
    </comment>
    <comment ref="D174" authorId="0" shapeId="0">
      <text>
        <t>Loan: International Financial, ZERO_INTEREST service contract. Source: data/loans.md</t>
      </text>
    </comment>
    <comment ref="E174" authorId="0" shapeId="0">
      <text>
        <t>Loan: International Financial, ZERO_INTEREST. Source: data/loans.md</t>
      </text>
    </comment>
    <comment ref="F174" authorId="0" shapeId="0">
      <text>
        <t>Loan: International Financial, ZERO_INTEREST. Source: data/loans.md</t>
      </text>
    </comment>
    <comment ref="C175" authorId="0" shapeId="0">
      <text>
        <t>Loan: International Financial, Service Contract. Source: data/loans.md</t>
      </text>
    </comment>
    <comment ref="D175" authorId="0" shapeId="0">
      <text>
        <t>Loan: International Financial, ZERO_INTEREST service contract. Source: data/loans.md</t>
      </text>
    </comment>
    <comment ref="E175" authorId="0" shapeId="0">
      <text>
        <t>Loan: International Financial, ZERO_INTEREST. Source: data/loans.md</t>
      </text>
    </comment>
    <comment ref="F175" authorId="0" shapeId="0">
      <text>
        <t>Loan: International Financial, ZERO_INTEREST. Source: data/loans.md</t>
      </text>
    </comment>
    <comment ref="C176" authorId="0" shapeId="0">
      <text>
        <t>Loan: International Financial, Service Contract. Source: data/loans.md</t>
      </text>
    </comment>
    <comment ref="D176" authorId="0" shapeId="0">
      <text>
        <t>Loan: International Financial, ZERO_INTEREST service contract. Source: data/loans.md</t>
      </text>
    </comment>
    <comment ref="E176" authorId="0" shapeId="0">
      <text>
        <t>Loan: International Financial, ZERO_INTEREST. Source: data/loans.md</t>
      </text>
    </comment>
    <comment ref="F176" authorId="0" shapeId="0">
      <text>
        <t>Loan: International Financial, ZERO_INTEREST. Source: data/loans.md</t>
      </text>
    </comment>
    <comment ref="C177" authorId="0" shapeId="0">
      <text>
        <t>Loan: International Financial, Service Contract. Source: data/loans.md</t>
      </text>
    </comment>
    <comment ref="D177" authorId="0" shapeId="0">
      <text>
        <t>Loan: International Financial, ZERO_INTEREST service contract. Source: data/loans.md</t>
      </text>
    </comment>
    <comment ref="E177" authorId="0" shapeId="0">
      <text>
        <t>Loan: International Financial, ZERO_INTEREST. Source: data/loans.md</t>
      </text>
    </comment>
    <comment ref="F177" authorId="0" shapeId="0">
      <text>
        <t>Loan: International Financial, ZERO_INTEREST. Source: data/loans.md</t>
      </text>
    </comment>
    <comment ref="C178" authorId="0" shapeId="0">
      <text>
        <t>Loan: International Financial, Service Contract. Source: data/loans.md</t>
      </text>
    </comment>
    <comment ref="D178" authorId="0" shapeId="0">
      <text>
        <t>Loan: International Financial, ZERO_INTEREST service contract. Source: data/loans.md</t>
      </text>
    </comment>
    <comment ref="E178" authorId="0" shapeId="0">
      <text>
        <t>Loan: International Financial, ZERO_INTEREST. Source: data/loans.md</t>
      </text>
    </comment>
    <comment ref="F178" authorId="0" shapeId="0">
      <text>
        <t>Loan: International Financial, ZERO_INTEREST. Source: data/loans.md</t>
      </text>
    </comment>
    <comment ref="C179" authorId="0" shapeId="0">
      <text>
        <t>Loan: International Financial, Service Contract. Source: data/loans.md</t>
      </text>
    </comment>
    <comment ref="D179" authorId="0" shapeId="0">
      <text>
        <t>Loan: International Financial, ZERO_INTEREST service contract. Source: data/loans.md</t>
      </text>
    </comment>
    <comment ref="E179" authorId="0" shapeId="0">
      <text>
        <t>Loan: International Financial, ZERO_INTEREST. Source: data/loans.md</t>
      </text>
    </comment>
    <comment ref="F179" authorId="0" shapeId="0">
      <text>
        <t>Loan: International Financial, ZERO_INTEREST. Source: data/loans.md</t>
      </text>
    </comment>
    <comment ref="C180" authorId="0" shapeId="0">
      <text>
        <t>Loan: International Financial, Service Contract. Source: data/loans.md</t>
      </text>
    </comment>
    <comment ref="D180" authorId="0" shapeId="0">
      <text>
        <t>Loan: International Financial, ZERO_INTEREST service contract. Source: data/loans.md</t>
      </text>
    </comment>
    <comment ref="E180" authorId="0" shapeId="0">
      <text>
        <t>Loan: International Financial, ZERO_INTEREST. Source: data/loans.md</t>
      </text>
    </comment>
    <comment ref="F180" authorId="0" shapeId="0">
      <text>
        <t>Loan: International Financial, ZERO_INTEREST. Source: data/loans.md</t>
      </text>
    </comment>
    <comment ref="C181" authorId="0" shapeId="0">
      <text>
        <t>Loan: International Financial, Service Contract. Source: data/loans.md</t>
      </text>
    </comment>
    <comment ref="D181" authorId="0" shapeId="0">
      <text>
        <t>Loan: International Financial, ZERO_INTEREST service contract. Source: data/loans.md</t>
      </text>
    </comment>
    <comment ref="E181" authorId="0" shapeId="0">
      <text>
        <t>Loan: International Financial, ZERO_INTEREST. Source: data/loans.md</t>
      </text>
    </comment>
    <comment ref="F181" authorId="0" shapeId="0">
      <text>
        <t>Loan: International Financial, ZERO_INTEREST. Source: data/loans.md</t>
      </text>
    </comment>
    <comment ref="C182" authorId="0" shapeId="0">
      <text>
        <t>Loan: International Financial, Service Contract. Source: data/loans.md</t>
      </text>
    </comment>
    <comment ref="D182" authorId="0" shapeId="0">
      <text>
        <t>Loan: International Financial, ZERO_INTEREST service contract. Source: data/loans.md</t>
      </text>
    </comment>
    <comment ref="E182" authorId="0" shapeId="0">
      <text>
        <t>Loan: International Financial, ZERO_INTEREST. Source: data/loans.md</t>
      </text>
    </comment>
    <comment ref="F182" authorId="0" shapeId="0">
      <text>
        <t>Loan: International Financial, ZERO_INTEREST. Source: data/loans.md</t>
      </text>
    </comment>
    <comment ref="C183" authorId="0" shapeId="0">
      <text>
        <t>Loan: International Financial, Service Contract. Source: data/loans.md</t>
      </text>
    </comment>
    <comment ref="D183" authorId="0" shapeId="0">
      <text>
        <t>Loan: International Financial, ZERO_INTEREST service contract. Source: data/loans.md</t>
      </text>
    </comment>
    <comment ref="E183" authorId="0" shapeId="0">
      <text>
        <t>Loan: International Financial, ZERO_INTEREST. Source: data/loans.md</t>
      </text>
    </comment>
    <comment ref="F183" authorId="0" shapeId="0">
      <text>
        <t>Loan: International Financial, ZERO_INTEREST. Source: data/loans.md</t>
      </text>
    </comment>
    <comment ref="C184" authorId="0" shapeId="0">
      <text>
        <t>Loan: International Financial, Service Contract. Source: data/loans.md</t>
      </text>
    </comment>
    <comment ref="D184" authorId="0" shapeId="0">
      <text>
        <t>Loan: International Financial, ZERO_INTEREST service contract. Source: data/loans.md</t>
      </text>
    </comment>
    <comment ref="E184" authorId="0" shapeId="0">
      <text>
        <t>Loan: International Financial, ZERO_INTEREST. Source: data/loans.md</t>
      </text>
    </comment>
    <comment ref="F184" authorId="0" shapeId="0">
      <text>
        <t>Loan: International Financial, ZERO_INTEREST. Source: data/loans.md</t>
      </text>
    </comment>
    <comment ref="C185" authorId="0" shapeId="0">
      <text>
        <t>Loan: International Financial, Service Contract. Source: data/loans.md</t>
      </text>
    </comment>
    <comment ref="D185" authorId="0" shapeId="0">
      <text>
        <t>Loan: International Financial, ZERO_INTEREST service contract. Source: data/loans.md</t>
      </text>
    </comment>
    <comment ref="E185" authorId="0" shapeId="0">
      <text>
        <t>Loan: International Financial, ZERO_INTEREST. Source: data/loans.md</t>
      </text>
    </comment>
    <comment ref="F185" authorId="0" shapeId="0">
      <text>
        <t>Loan: International Financial, ZERO_INTEREST. Source: data/loans.md</t>
      </text>
    </comment>
    <comment ref="C186" authorId="0" shapeId="0">
      <text>
        <t>Loan: International Financial, Service Contract. Source: data/loans.md</t>
      </text>
    </comment>
    <comment ref="D186" authorId="0" shapeId="0">
      <text>
        <t>Loan: International Financial, ZERO_INTEREST service contract. Source: data/loans.md</t>
      </text>
    </comment>
    <comment ref="E186" authorId="0" shapeId="0">
      <text>
        <t>Loan: International Financial, ZERO_INTEREST. Source: data/loans.md</t>
      </text>
    </comment>
    <comment ref="F186" authorId="0" shapeId="0">
      <text>
        <t>Loan: International Financial, ZERO_INTEREST. Source: data/loans.md</t>
      </text>
    </comment>
    <comment ref="C187" authorId="0" shapeId="0">
      <text>
        <t>Loan: International Financial, Service Contract. Source: data/loans.md</t>
      </text>
    </comment>
    <comment ref="D187" authorId="0" shapeId="0">
      <text>
        <t>Loan: International Financial, ZERO_INTEREST service contract. Source: data/loans.md</t>
      </text>
    </comment>
    <comment ref="E187" authorId="0" shapeId="0">
      <text>
        <t>Loan: International Financial, ZERO_INTEREST. Source: data/loans.md</t>
      </text>
    </comment>
    <comment ref="F187" authorId="0" shapeId="0">
      <text>
        <t>Loan: International Financial, ZERO_INTEREST. Source: data/loans.md</t>
      </text>
    </comment>
    <comment ref="D189" authorId="0" shapeId="0">
      <text>
        <t>Sum of rows 129-187: Total Interest</t>
      </text>
    </comment>
    <comment ref="E189" authorId="0" shapeId="0">
      <text>
        <t>Sum of rows 129-187: Total Principal</t>
      </text>
    </comment>
    <comment ref="C196" authorId="0" shapeId="0">
      <text>
        <t>Links to: Loan 1 total (row 104) + Loan 2 total (row 189)</t>
      </text>
    </comment>
    <comment ref="C197" authorId="0" shapeId="0">
      <text>
        <t>Links to: Loan 1 total (row 104) + Loan 2 total (row 189)</t>
      </text>
    </comment>
  </commentList>
</comments>
</file>

<file path=xl/comments/comment5.xml><?xml version="1.0" encoding="utf-8"?>
<comments xmlns="http://schemas.openxmlformats.org/spreadsheetml/2006/main">
  <authors>
    <author>Model Builder</author>
  </authors>
  <commentList>
    <comment ref="B3" authorId="0" shapeId="0">
      <text>
        <t>Source: data/loans.md, CCG section</t>
      </text>
    </comment>
    <comment ref="B5" authorId="0" shapeId="0">
      <text>
        <t>Source: data/loans.md - CCG Total Balance: $3,017,634</t>
      </text>
    </comment>
    <comment ref="B6" authorId="0" shapeId="0">
      <text>
        <t>Source: data/loans.md - CCG Total Monthly: $68,832</t>
      </text>
    </comment>
    <comment ref="B20" authorId="0" shapeId="0">
      <text>
        <t>Source: data/loans.md - CCG 5 Trucks 809-813
Original balance at origination</t>
      </text>
    </comment>
    <comment ref="B21" authorId="0" shapeId="0">
      <text>
        <t>Source: data/loans.md - CCG 5 Trucks 809-813
Balance as of Nov 30, 2025</t>
      </text>
    </comment>
    <comment ref="B22" authorId="0" shapeId="0">
      <text>
        <t>Source: data/loans.md - CCG 5 Trucks 809-813
Fixed rate: 10.50%</t>
      </text>
    </comment>
    <comment ref="B23" authorId="0" shapeId="0">
      <text>
        <t>Source: data/loans.md - CCG 5 Trucks 809-813
Fixed monthly P&amp;I payment</t>
      </text>
    </comment>
    <comment ref="C31" authorId="0" shapeId="0">
      <text>
        <t>Loan: CCG 5 Trucks 809-813
Source: data/loans.md
Opening balance from Nov 2025 remaining balance</t>
      </text>
    </comment>
    <comment ref="D31" authorId="0" shapeId="0">
      <text>
        <t>Loan: CCG 5 Trucks 809-813
Formula: =MAX(0, Opening * AnnualRate / 12)
Prevents negative interest</t>
      </text>
    </comment>
    <comment ref="E31" authorId="0" shapeId="0">
      <text>
        <t>Loan: CCG 5 Trucks 809-813
Formula: =MAX(0, MIN(Opening, Payment - Interest))
Ensures principal does not exceed opening balance</t>
      </text>
    </comment>
    <comment ref="F31" authorId="0" shapeId="0">
      <text>
        <t>Loan: CCG 5 Trucks 809-813
Formula: =MAX(0, Opening - Principal)
Prevents negative closing balance</t>
      </text>
    </comment>
    <comment ref="C32" authorId="0" shapeId="0">
      <text>
        <t>Loan: CCG 5 Trucks 809-813
Formula: Prior month closing balance</t>
      </text>
    </comment>
    <comment ref="D32" authorId="0" shapeId="0">
      <text>
        <t>Loan: CCG 5 Trucks 809-813
Formula: =MAX(0, Opening * AnnualRate / 12)
Prevents negative interest</t>
      </text>
    </comment>
    <comment ref="E32" authorId="0" shapeId="0">
      <text>
        <t>Loan: CCG 5 Trucks 809-813
Formula: =MAX(0, MIN(Opening, Payment - Interest))
Ensures principal does not exceed opening balance</t>
      </text>
    </comment>
    <comment ref="F32" authorId="0" shapeId="0">
      <text>
        <t>Loan: CCG 5 Trucks 809-813
Formula: =MAX(0, Opening - Principal)
Prevents negative closing balance</t>
      </text>
    </comment>
    <comment ref="C33" authorId="0" shapeId="0">
      <text>
        <t>Loan: CCG 5 Trucks 809-813
Formula: Prior month closing balance</t>
      </text>
    </comment>
    <comment ref="D33" authorId="0" shapeId="0">
      <text>
        <t>Loan: CCG 5 Trucks 809-813
Formula: =MAX(0, Opening * AnnualRate / 12)
Prevents negative interest</t>
      </text>
    </comment>
    <comment ref="E33" authorId="0" shapeId="0">
      <text>
        <t>Loan: CCG 5 Trucks 809-813
Formula: =MAX(0, MIN(Opening, Payment - Interest))
Ensures principal does not exceed opening balance</t>
      </text>
    </comment>
    <comment ref="F33" authorId="0" shapeId="0">
      <text>
        <t>Loan: CCG 5 Trucks 809-813
Formula: =MAX(0, Opening - Principal)
Prevents negative closing balance</t>
      </text>
    </comment>
    <comment ref="C34" authorId="0" shapeId="0">
      <text>
        <t>Loan: CCG 5 Trucks 809-813
Formula: Prior month closing balance</t>
      </text>
    </comment>
    <comment ref="D34" authorId="0" shapeId="0">
      <text>
        <t>Loan: CCG 5 Trucks 809-813
Formula: =MAX(0, Opening * AnnualRate / 12)
Prevents negative interest</t>
      </text>
    </comment>
    <comment ref="E34" authorId="0" shapeId="0">
      <text>
        <t>Loan: CCG 5 Trucks 809-813
Formula: =MAX(0, MIN(Opening, Payment - Interest))
Ensures principal does not exceed opening balance</t>
      </text>
    </comment>
    <comment ref="F34" authorId="0" shapeId="0">
      <text>
        <t>Loan: CCG 5 Trucks 809-813
Formula: =MAX(0, Opening - Principal)
Prevents negative closing balance</t>
      </text>
    </comment>
    <comment ref="C35" authorId="0" shapeId="0">
      <text>
        <t>Loan: CCG 5 Trucks 809-813
Formula: Prior month closing balance</t>
      </text>
    </comment>
    <comment ref="D35" authorId="0" shapeId="0">
      <text>
        <t>Loan: CCG 5 Trucks 809-813
Formula: =MAX(0, Opening * AnnualRate / 12)
Prevents negative interest</t>
      </text>
    </comment>
    <comment ref="E35" authorId="0" shapeId="0">
      <text>
        <t>Loan: CCG 5 Trucks 809-813
Formula: =MAX(0, MIN(Opening, Payment - Interest))
Ensures principal does not exceed opening balance</t>
      </text>
    </comment>
    <comment ref="F35" authorId="0" shapeId="0">
      <text>
        <t>Loan: CCG 5 Trucks 809-813
Formula: =MAX(0, Opening - Principal)
Prevents negative closing balance</t>
      </text>
    </comment>
    <comment ref="C36" authorId="0" shapeId="0">
      <text>
        <t>Loan: CCG 5 Trucks 809-813
Formula: Prior month closing balance</t>
      </text>
    </comment>
    <comment ref="D36" authorId="0" shapeId="0">
      <text>
        <t>Loan: CCG 5 Trucks 809-813
Formula: =MAX(0, Opening * AnnualRate / 12)
Prevents negative interest</t>
      </text>
    </comment>
    <comment ref="E36" authorId="0" shapeId="0">
      <text>
        <t>Loan: CCG 5 Trucks 809-813
Formula: =MAX(0, MIN(Opening, Payment - Interest))
Ensures principal does not exceed opening balance</t>
      </text>
    </comment>
    <comment ref="F36" authorId="0" shapeId="0">
      <text>
        <t>Loan: CCG 5 Trucks 809-813
Formula: =MAX(0, Opening - Principal)
Prevents negative closing balance</t>
      </text>
    </comment>
    <comment ref="C37" authorId="0" shapeId="0">
      <text>
        <t>Loan: CCG 5 Trucks 809-813
Formula: Prior month closing balance</t>
      </text>
    </comment>
    <comment ref="D37" authorId="0" shapeId="0">
      <text>
        <t>Loan: CCG 5 Trucks 809-813
Formula: =MAX(0, Opening * AnnualRate / 12)
Prevents negative interest</t>
      </text>
    </comment>
    <comment ref="E37" authorId="0" shapeId="0">
      <text>
        <t>Loan: CCG 5 Trucks 809-813
Formula: =MAX(0, MIN(Opening, Payment - Interest))
Ensures principal does not exceed opening balance</t>
      </text>
    </comment>
    <comment ref="F37" authorId="0" shapeId="0">
      <text>
        <t>Loan: CCG 5 Trucks 809-813
Formula: =MAX(0, Opening - Principal)
Prevents negative closing balance</t>
      </text>
    </comment>
    <comment ref="C38" authorId="0" shapeId="0">
      <text>
        <t>Loan: CCG 5 Trucks 809-813
Formula: Prior month closing balance</t>
      </text>
    </comment>
    <comment ref="D38" authorId="0" shapeId="0">
      <text>
        <t>Loan: CCG 5 Trucks 809-813
Formula: =MAX(0, Opening * AnnualRate / 12)
Prevents negative interest</t>
      </text>
    </comment>
    <comment ref="E38" authorId="0" shapeId="0">
      <text>
        <t>Loan: CCG 5 Trucks 809-813
Formula: =MAX(0, MIN(Opening, Payment - Interest))
Ensures principal does not exceed opening balance</t>
      </text>
    </comment>
    <comment ref="F38" authorId="0" shapeId="0">
      <text>
        <t>Loan: CCG 5 Trucks 809-813
Formula: =MAX(0, Opening - Principal)
Prevents negative closing balance</t>
      </text>
    </comment>
    <comment ref="C39" authorId="0" shapeId="0">
      <text>
        <t>Loan: CCG 5 Trucks 809-813
Formula: Prior month closing balance</t>
      </text>
    </comment>
    <comment ref="D39" authorId="0" shapeId="0">
      <text>
        <t>Loan: CCG 5 Trucks 809-813
Formula: =MAX(0, Opening * AnnualRate / 12)
Prevents negative interest</t>
      </text>
    </comment>
    <comment ref="E39" authorId="0" shapeId="0">
      <text>
        <t>Loan: CCG 5 Trucks 809-813
Formula: =MAX(0, MIN(Opening, Payment - Interest))
Ensures principal does not exceed opening balance</t>
      </text>
    </comment>
    <comment ref="F39" authorId="0" shapeId="0">
      <text>
        <t>Loan: CCG 5 Trucks 809-813
Formula: =MAX(0, Opening - Principal)
Prevents negative closing balance</t>
      </text>
    </comment>
    <comment ref="C40" authorId="0" shapeId="0">
      <text>
        <t>Loan: CCG 5 Trucks 809-813
Formula: Prior month closing balance</t>
      </text>
    </comment>
    <comment ref="D40" authorId="0" shapeId="0">
      <text>
        <t>Loan: CCG 5 Trucks 809-813
Formula: =MAX(0, Opening * AnnualRate / 12)
Prevents negative interest</t>
      </text>
    </comment>
    <comment ref="E40" authorId="0" shapeId="0">
      <text>
        <t>Loan: CCG 5 Trucks 809-813
Formula: =MAX(0, MIN(Opening, Payment - Interest))
Ensures principal does not exceed opening balance</t>
      </text>
    </comment>
    <comment ref="F40" authorId="0" shapeId="0">
      <text>
        <t>Loan: CCG 5 Trucks 809-813
Formula: =MAX(0, Opening - Principal)
Prevents negative closing balance</t>
      </text>
    </comment>
    <comment ref="C41" authorId="0" shapeId="0">
      <text>
        <t>Loan: CCG 5 Trucks 809-813
Formula: Prior month closing balance</t>
      </text>
    </comment>
    <comment ref="D41" authorId="0" shapeId="0">
      <text>
        <t>Loan: CCG 5 Trucks 809-813
Formula: =MAX(0, Opening * AnnualRate / 12)
Prevents negative interest</t>
      </text>
    </comment>
    <comment ref="E41" authorId="0" shapeId="0">
      <text>
        <t>Loan: CCG 5 Trucks 809-813
Formula: =MAX(0, MIN(Opening, Payment - Interest))
Ensures principal does not exceed opening balance</t>
      </text>
    </comment>
    <comment ref="F41" authorId="0" shapeId="0">
      <text>
        <t>Loan: CCG 5 Trucks 809-813
Formula: =MAX(0, Opening - Principal)
Prevents negative closing balance</t>
      </text>
    </comment>
    <comment ref="C42" authorId="0" shapeId="0">
      <text>
        <t>Loan: CCG 5 Trucks 809-813
Formula: Prior month closing balance</t>
      </text>
    </comment>
    <comment ref="D42" authorId="0" shapeId="0">
      <text>
        <t>Loan: CCG 5 Trucks 809-813
Formula: =MAX(0, Opening * AnnualRate / 12)
Prevents negative interest</t>
      </text>
    </comment>
    <comment ref="E42" authorId="0" shapeId="0">
      <text>
        <t>Loan: CCG 5 Trucks 809-813
Formula: =MAX(0, MIN(Opening, Payment - Interest))
Ensures principal does not exceed opening balance</t>
      </text>
    </comment>
    <comment ref="F42" authorId="0" shapeId="0">
      <text>
        <t>Loan: CCG 5 Trucks 809-813
Formula: =MAX(0, Opening - Principal)
Prevents negative closing balance</t>
      </text>
    </comment>
    <comment ref="C43" authorId="0" shapeId="0">
      <text>
        <t>Loan: CCG 5 Trucks 809-813
Formula: Prior month closing balance</t>
      </text>
    </comment>
    <comment ref="D43" authorId="0" shapeId="0">
      <text>
        <t>Loan: CCG 5 Trucks 809-813
Formula: =MAX(0, Opening * AnnualRate / 12)
Prevents negative interest</t>
      </text>
    </comment>
    <comment ref="E43" authorId="0" shapeId="0">
      <text>
        <t>Loan: CCG 5 Trucks 809-813
Formula: =MAX(0, MIN(Opening, Payment - Interest))
Ensures principal does not exceed opening balance</t>
      </text>
    </comment>
    <comment ref="F43" authorId="0" shapeId="0">
      <text>
        <t>Loan: CCG 5 Trucks 809-813
Formula: =MAX(0, Opening - Principal)
Prevents negative closing balance</t>
      </text>
    </comment>
    <comment ref="C44" authorId="0" shapeId="0">
      <text>
        <t>Loan: CCG 5 Trucks 809-813
Formula: Prior month closing balance</t>
      </text>
    </comment>
    <comment ref="D44" authorId="0" shapeId="0">
      <text>
        <t>Loan: CCG 5 Trucks 809-813
Formula: =MAX(0, Opening * AnnualRate / 12)
Prevents negative interest</t>
      </text>
    </comment>
    <comment ref="E44" authorId="0" shapeId="0">
      <text>
        <t>Loan: CCG 5 Trucks 809-813
Formula: =MAX(0, MIN(Opening, Payment - Interest))
Ensures principal does not exceed opening balance</t>
      </text>
    </comment>
    <comment ref="F44" authorId="0" shapeId="0">
      <text>
        <t>Loan: CCG 5 Trucks 809-813
Formula: =MAX(0, Opening - Principal)
Prevents negative closing balance</t>
      </text>
    </comment>
    <comment ref="C45" authorId="0" shapeId="0">
      <text>
        <t>Loan: CCG 5 Trucks 809-813
Formula: Prior month closing balance</t>
      </text>
    </comment>
    <comment ref="D45" authorId="0" shapeId="0">
      <text>
        <t>Loan: CCG 5 Trucks 809-813
Formula: =MAX(0, Opening * AnnualRate / 12)
Prevents negative interest</t>
      </text>
    </comment>
    <comment ref="E45" authorId="0" shapeId="0">
      <text>
        <t>Loan: CCG 5 Trucks 809-813
Formula: =MAX(0, MIN(Opening, Payment - Interest))
Ensures principal does not exceed opening balance</t>
      </text>
    </comment>
    <comment ref="F45" authorId="0" shapeId="0">
      <text>
        <t>Loan: CCG 5 Trucks 809-813
Formula: =MAX(0, Opening - Principal)
Prevents negative closing balance</t>
      </text>
    </comment>
    <comment ref="C46" authorId="0" shapeId="0">
      <text>
        <t>Loan: CCG 5 Trucks 809-813
Formula: Prior month closing balance</t>
      </text>
    </comment>
    <comment ref="D46" authorId="0" shapeId="0">
      <text>
        <t>Loan: CCG 5 Trucks 809-813
Formula: =MAX(0, Opening * AnnualRate / 12)
Prevents negative interest</t>
      </text>
    </comment>
    <comment ref="E46" authorId="0" shapeId="0">
      <text>
        <t>Loan: CCG 5 Trucks 809-813
Formula: =MAX(0, MIN(Opening, Payment - Interest))
Ensures principal does not exceed opening balance</t>
      </text>
    </comment>
    <comment ref="F46" authorId="0" shapeId="0">
      <text>
        <t>Loan: CCG 5 Trucks 809-813
Formula: =MAX(0, Opening - Principal)
Prevents negative closing balance</t>
      </text>
    </comment>
    <comment ref="C47" authorId="0" shapeId="0">
      <text>
        <t>Loan: CCG 5 Trucks 809-813
Formula: Prior month closing balance</t>
      </text>
    </comment>
    <comment ref="D47" authorId="0" shapeId="0">
      <text>
        <t>Loan: CCG 5 Trucks 809-813
Formula: =MAX(0, Opening * AnnualRate / 12)
Prevents negative interest</t>
      </text>
    </comment>
    <comment ref="E47" authorId="0" shapeId="0">
      <text>
        <t>Loan: CCG 5 Trucks 809-813
Formula: =MAX(0, MIN(Opening, Payment - Interest))
Ensures principal does not exceed opening balance</t>
      </text>
    </comment>
    <comment ref="F47" authorId="0" shapeId="0">
      <text>
        <t>Loan: CCG 5 Trucks 809-813
Formula: =MAX(0, Opening - Principal)
Prevents negative closing balance</t>
      </text>
    </comment>
    <comment ref="C48" authorId="0" shapeId="0">
      <text>
        <t>Loan: CCG 5 Trucks 809-813
Formula: Prior month closing balance</t>
      </text>
    </comment>
    <comment ref="D48" authorId="0" shapeId="0">
      <text>
        <t>Loan: CCG 5 Trucks 809-813
Formula: =MAX(0, Opening * AnnualRate / 12)
Prevents negative interest</t>
      </text>
    </comment>
    <comment ref="E48" authorId="0" shapeId="0">
      <text>
        <t>Loan: CCG 5 Trucks 809-813
Formula: =MAX(0, MIN(Opening, Payment - Interest))
Ensures principal does not exceed opening balance</t>
      </text>
    </comment>
    <comment ref="F48" authorId="0" shapeId="0">
      <text>
        <t>Loan: CCG 5 Trucks 809-813
Formula: =MAX(0, Opening - Principal)
Prevents negative closing balance</t>
      </text>
    </comment>
    <comment ref="C49" authorId="0" shapeId="0">
      <text>
        <t>Loan: CCG 5 Trucks 809-813
Formula: Prior month closing balance</t>
      </text>
    </comment>
    <comment ref="D49" authorId="0" shapeId="0">
      <text>
        <t>Loan: CCG 5 Trucks 809-813
Formula: =MAX(0, Opening * AnnualRate / 12)
Prevents negative interest</t>
      </text>
    </comment>
    <comment ref="E49" authorId="0" shapeId="0">
      <text>
        <t>Loan: CCG 5 Trucks 809-813
Formula: =MAX(0, MIN(Opening, Payment - Interest))
Ensures principal does not exceed opening balance</t>
      </text>
    </comment>
    <comment ref="F49" authorId="0" shapeId="0">
      <text>
        <t>Loan: CCG 5 Trucks 809-813
Formula: =MAX(0, Opening - Principal)
Prevents negative closing balance</t>
      </text>
    </comment>
    <comment ref="C50" authorId="0" shapeId="0">
      <text>
        <t>Loan: CCG 5 Trucks 809-813
Formula: Prior month closing balance</t>
      </text>
    </comment>
    <comment ref="D50" authorId="0" shapeId="0">
      <text>
        <t>Loan: CCG 5 Trucks 809-813
Formula: =MAX(0, Opening * AnnualRate / 12)
Prevents negative interest</t>
      </text>
    </comment>
    <comment ref="E50" authorId="0" shapeId="0">
      <text>
        <t>Loan: CCG 5 Trucks 809-813
Formula: =MAX(0, MIN(Opening, Payment - Interest))
Ensures principal does not exceed opening balance</t>
      </text>
    </comment>
    <comment ref="F50" authorId="0" shapeId="0">
      <text>
        <t>Loan: CCG 5 Trucks 809-813
Formula: =MAX(0, Opening - Principal)
Prevents negative closing balance</t>
      </text>
    </comment>
    <comment ref="C51" authorId="0" shapeId="0">
      <text>
        <t>Loan: CCG 5 Trucks 809-813
Formula: Prior month closing balance</t>
      </text>
    </comment>
    <comment ref="D51" authorId="0" shapeId="0">
      <text>
        <t>Loan: CCG 5 Trucks 809-813
Formula: =MAX(0, Opening * AnnualRate / 12)
Prevents negative interest</t>
      </text>
    </comment>
    <comment ref="E51" authorId="0" shapeId="0">
      <text>
        <t>Loan: CCG 5 Trucks 809-813
Formula: =MAX(0, MIN(Opening, Payment - Interest))
Ensures principal does not exceed opening balance</t>
      </text>
    </comment>
    <comment ref="F51" authorId="0" shapeId="0">
      <text>
        <t>Loan: CCG 5 Trucks 809-813
Formula: =MAX(0, Opening - Principal)
Prevents negative closing balance</t>
      </text>
    </comment>
    <comment ref="C52" authorId="0" shapeId="0">
      <text>
        <t>Loan: CCG 5 Trucks 809-813
Formula: Prior month closing balance</t>
      </text>
    </comment>
    <comment ref="D52" authorId="0" shapeId="0">
      <text>
        <t>Loan: CCG 5 Trucks 809-813
Formula: =MAX(0, Opening * AnnualRate / 12)
Prevents negative interest</t>
      </text>
    </comment>
    <comment ref="E52" authorId="0" shapeId="0">
      <text>
        <t>Loan: CCG 5 Trucks 809-813
Formula: =MAX(0, MIN(Opening, Payment - Interest))
Ensures principal does not exceed opening balance</t>
      </text>
    </comment>
    <comment ref="F52" authorId="0" shapeId="0">
      <text>
        <t>Loan: CCG 5 Trucks 809-813
Formula: =MAX(0, Opening - Principal)
Prevents negative closing balance</t>
      </text>
    </comment>
    <comment ref="C53" authorId="0" shapeId="0">
      <text>
        <t>Loan: CCG 5 Trucks 809-813
Formula: Prior month closing balance</t>
      </text>
    </comment>
    <comment ref="D53" authorId="0" shapeId="0">
      <text>
        <t>Loan: CCG 5 Trucks 809-813
Formula: =MAX(0, Opening * AnnualRate / 12)
Prevents negative interest</t>
      </text>
    </comment>
    <comment ref="E53" authorId="0" shapeId="0">
      <text>
        <t>Loan: CCG 5 Trucks 809-813
Formula: =MAX(0, MIN(Opening, Payment - Interest))
Ensures principal does not exceed opening balance</t>
      </text>
    </comment>
    <comment ref="F53" authorId="0" shapeId="0">
      <text>
        <t>Loan: CCG 5 Trucks 809-813
Formula: =MAX(0, Opening - Principal)
Prevents negative closing balance</t>
      </text>
    </comment>
    <comment ref="C54" authorId="0" shapeId="0">
      <text>
        <t>Loan: CCG 5 Trucks 809-813
Formula: Prior month closing balance</t>
      </text>
    </comment>
    <comment ref="D54" authorId="0" shapeId="0">
      <text>
        <t>Loan: CCG 5 Trucks 809-813
Formula: =MAX(0, Opening * AnnualRate / 12)
Prevents negative interest</t>
      </text>
    </comment>
    <comment ref="E54" authorId="0" shapeId="0">
      <text>
        <t>Loan: CCG 5 Trucks 809-813
Formula: =MAX(0, MIN(Opening, Payment - Interest))
Ensures principal does not exceed opening balance</t>
      </text>
    </comment>
    <comment ref="F54" authorId="0" shapeId="0">
      <text>
        <t>Loan: CCG 5 Trucks 809-813
Formula: =MAX(0, Opening - Principal)
Prevents negative closing balance</t>
      </text>
    </comment>
    <comment ref="C55" authorId="0" shapeId="0">
      <text>
        <t>Loan: CCG 5 Trucks 809-813
Formula: Prior month closing balance</t>
      </text>
    </comment>
    <comment ref="D55" authorId="0" shapeId="0">
      <text>
        <t>Loan: CCG 5 Trucks 809-813
Formula: =MAX(0, Opening * AnnualRate / 12)
Prevents negative interest</t>
      </text>
    </comment>
    <comment ref="E55" authorId="0" shapeId="0">
      <text>
        <t>Loan: CCG 5 Trucks 809-813
Formula: =MAX(0, MIN(Opening, Payment - Interest))
Ensures principal does not exceed opening balance</t>
      </text>
    </comment>
    <comment ref="F55" authorId="0" shapeId="0">
      <text>
        <t>Loan: CCG 5 Trucks 809-813
Formula: =MAX(0, Opening - Principal)
Prevents negative closing balance</t>
      </text>
    </comment>
    <comment ref="C56" authorId="0" shapeId="0">
      <text>
        <t>Loan: CCG 5 Trucks 809-813
Formula: Prior month closing balance</t>
      </text>
    </comment>
    <comment ref="D56" authorId="0" shapeId="0">
      <text>
        <t>Loan: CCG 5 Trucks 809-813
Formula: =MAX(0, Opening * AnnualRate / 12)
Prevents negative interest</t>
      </text>
    </comment>
    <comment ref="E56" authorId="0" shapeId="0">
      <text>
        <t>Loan: CCG 5 Trucks 809-813
Formula: =MAX(0, MIN(Opening, Payment - Interest))
Ensures principal does not exceed opening balance</t>
      </text>
    </comment>
    <comment ref="F56" authorId="0" shapeId="0">
      <text>
        <t>Loan: CCG 5 Trucks 809-813
Formula: =MAX(0, Opening - Principal)
Prevents negative closing balance</t>
      </text>
    </comment>
    <comment ref="C57" authorId="0" shapeId="0">
      <text>
        <t>Loan: CCG 5 Trucks 809-813
Formula: Prior month closing balance</t>
      </text>
    </comment>
    <comment ref="D57" authorId="0" shapeId="0">
      <text>
        <t>Loan: CCG 5 Trucks 809-813
Formula: =MAX(0, Opening * AnnualRate / 12)
Prevents negative interest</t>
      </text>
    </comment>
    <comment ref="E57" authorId="0" shapeId="0">
      <text>
        <t>Loan: CCG 5 Trucks 809-813
Formula: =MAX(0, MIN(Opening, Payment - Interest))
Ensures principal does not exceed opening balance</t>
      </text>
    </comment>
    <comment ref="F57" authorId="0" shapeId="0">
      <text>
        <t>Loan: CCG 5 Trucks 809-813
Formula: =MAX(0, Opening - Principal)
Prevents negative closing balance</t>
      </text>
    </comment>
    <comment ref="C58" authorId="0" shapeId="0">
      <text>
        <t>Loan: CCG 5 Trucks 809-813
Formula: Prior month closing balance</t>
      </text>
    </comment>
    <comment ref="D58" authorId="0" shapeId="0">
      <text>
        <t>Loan: CCG 5 Trucks 809-813
Formula: =MAX(0, Opening * AnnualRate / 12)
Prevents negative interest</t>
      </text>
    </comment>
    <comment ref="E58" authorId="0" shapeId="0">
      <text>
        <t>Loan: CCG 5 Trucks 809-813
Formula: =MAX(0, MIN(Opening, Payment - Interest))
Ensures principal does not exceed opening balance</t>
      </text>
    </comment>
    <comment ref="F58" authorId="0" shapeId="0">
      <text>
        <t>Loan: CCG 5 Trucks 809-813
Formula: =MAX(0, Opening - Principal)
Prevents negative closing balance</t>
      </text>
    </comment>
    <comment ref="C59" authorId="0" shapeId="0">
      <text>
        <t>Loan: CCG 5 Trucks 809-813
Formula: Prior month closing balance</t>
      </text>
    </comment>
    <comment ref="D59" authorId="0" shapeId="0">
      <text>
        <t>Loan: CCG 5 Trucks 809-813
Formula: =MAX(0, Opening * AnnualRate / 12)
Prevents negative interest</t>
      </text>
    </comment>
    <comment ref="E59" authorId="0" shapeId="0">
      <text>
        <t>Loan: CCG 5 Trucks 809-813
Formula: =MAX(0, MIN(Opening, Payment - Interest))
Ensures principal does not exceed opening balance</t>
      </text>
    </comment>
    <comment ref="F59" authorId="0" shapeId="0">
      <text>
        <t>Loan: CCG 5 Trucks 809-813
Formula: =MAX(0, Opening - Principal)
Prevents negative closing balance</t>
      </text>
    </comment>
    <comment ref="C60" authorId="0" shapeId="0">
      <text>
        <t>Loan: CCG 5 Trucks 809-813
Formula: Prior month closing balance</t>
      </text>
    </comment>
    <comment ref="D60" authorId="0" shapeId="0">
      <text>
        <t>Loan: CCG 5 Trucks 809-813
Formula: =MAX(0, Opening * AnnualRate / 12)
Prevents negative interest</t>
      </text>
    </comment>
    <comment ref="E60" authorId="0" shapeId="0">
      <text>
        <t>Loan: CCG 5 Trucks 809-813
Formula: =MAX(0, MIN(Opening, Payment - Interest))
Ensures principal does not exceed opening balance</t>
      </text>
    </comment>
    <comment ref="F60" authorId="0" shapeId="0">
      <text>
        <t>Loan: CCG 5 Trucks 809-813
Formula: =MAX(0, Opening - Principal)
Prevents negative closing balance</t>
      </text>
    </comment>
    <comment ref="C61" authorId="0" shapeId="0">
      <text>
        <t>Loan: CCG 5 Trucks 809-813
Formula: Prior month closing balance</t>
      </text>
    </comment>
    <comment ref="D61" authorId="0" shapeId="0">
      <text>
        <t>Loan: CCG 5 Trucks 809-813
Formula: =MAX(0, Opening * AnnualRate / 12)
Prevents negative interest</t>
      </text>
    </comment>
    <comment ref="E61" authorId="0" shapeId="0">
      <text>
        <t>Loan: CCG 5 Trucks 809-813
Formula: =MAX(0, MIN(Opening, Payment - Interest))
Ensures principal does not exceed opening balance</t>
      </text>
    </comment>
    <comment ref="F61" authorId="0" shapeId="0">
      <text>
        <t>Loan: CCG 5 Trucks 809-813
Formula: =MAX(0, Opening - Principal)
Prevents negative closing balance</t>
      </text>
    </comment>
    <comment ref="C62" authorId="0" shapeId="0">
      <text>
        <t>Loan: CCG 5 Trucks 809-813
Formula: Prior month closing balance</t>
      </text>
    </comment>
    <comment ref="D62" authorId="0" shapeId="0">
      <text>
        <t>Loan: CCG 5 Trucks 809-813
Formula: =MAX(0, Opening * AnnualRate / 12)
Prevents negative interest</t>
      </text>
    </comment>
    <comment ref="E62" authorId="0" shapeId="0">
      <text>
        <t>Loan: CCG 5 Trucks 809-813
Formula: =MAX(0, MIN(Opening, Payment - Interest))
Ensures principal does not exceed opening balance</t>
      </text>
    </comment>
    <comment ref="F62" authorId="0" shapeId="0">
      <text>
        <t>Loan: CCG 5 Trucks 809-813
Formula: =MAX(0, Opening - Principal)
Prevents negative closing balance</t>
      </text>
    </comment>
    <comment ref="C63" authorId="0" shapeId="0">
      <text>
        <t>Loan: CCG 5 Trucks 809-813
Formula: Prior month closing balance</t>
      </text>
    </comment>
    <comment ref="D63" authorId="0" shapeId="0">
      <text>
        <t>Loan: CCG 5 Trucks 809-813
Formula: =MAX(0, Opening * AnnualRate / 12)
Prevents negative interest</t>
      </text>
    </comment>
    <comment ref="E63" authorId="0" shapeId="0">
      <text>
        <t>Loan: CCG 5 Trucks 809-813
Formula: =MAX(0, MIN(Opening, Payment - Interest))
Ensures principal does not exceed opening balance</t>
      </text>
    </comment>
    <comment ref="F63" authorId="0" shapeId="0">
      <text>
        <t>Loan: CCG 5 Trucks 809-813
Formula: =MAX(0, Opening - Principal)
Prevents negative closing balance</t>
      </text>
    </comment>
    <comment ref="C64" authorId="0" shapeId="0">
      <text>
        <t>Loan: CCG 5 Trucks 809-813
Formula: Prior month closing balance</t>
      </text>
    </comment>
    <comment ref="D64" authorId="0" shapeId="0">
      <text>
        <t>Loan: CCG 5 Trucks 809-813
Formula: =MAX(0, Opening * AnnualRate / 12)
Prevents negative interest</t>
      </text>
    </comment>
    <comment ref="E64" authorId="0" shapeId="0">
      <text>
        <t>Loan: CCG 5 Trucks 809-813
Formula: =MAX(0, MIN(Opening, Payment - Interest))
Ensures principal does not exceed opening balance</t>
      </text>
    </comment>
    <comment ref="F64" authorId="0" shapeId="0">
      <text>
        <t>Loan: CCG 5 Trucks 809-813
Formula: =MAX(0, Opening - Principal)
Prevents negative closing balance</t>
      </text>
    </comment>
    <comment ref="C65" authorId="0" shapeId="0">
      <text>
        <t>Loan: CCG 5 Trucks 809-813
Formula: Prior month closing balance</t>
      </text>
    </comment>
    <comment ref="D65" authorId="0" shapeId="0">
      <text>
        <t>Loan: CCG 5 Trucks 809-813
Formula: =MAX(0, Opening * AnnualRate / 12)
Prevents negative interest</t>
      </text>
    </comment>
    <comment ref="E65" authorId="0" shapeId="0">
      <text>
        <t>Loan: CCG 5 Trucks 809-813
Formula: =MAX(0, MIN(Opening, Payment - Interest))
Ensures principal does not exceed opening balance</t>
      </text>
    </comment>
    <comment ref="F65" authorId="0" shapeId="0">
      <text>
        <t>Loan: CCG 5 Trucks 809-813
Formula: =MAX(0, Opening - Principal)
Prevents negative closing balance</t>
      </text>
    </comment>
    <comment ref="C66" authorId="0" shapeId="0">
      <text>
        <t>Loan: CCG 5 Trucks 809-813
Formula: Prior month closing balance</t>
      </text>
    </comment>
    <comment ref="D66" authorId="0" shapeId="0">
      <text>
        <t>Loan: CCG 5 Trucks 809-813
Formula: =MAX(0, Opening * AnnualRate / 12)
Prevents negative interest</t>
      </text>
    </comment>
    <comment ref="E66" authorId="0" shapeId="0">
      <text>
        <t>Loan: CCG 5 Trucks 809-813
Formula: =MAX(0, MIN(Opening, Payment - Interest))
Ensures principal does not exceed opening balance</t>
      </text>
    </comment>
    <comment ref="F66" authorId="0" shapeId="0">
      <text>
        <t>Loan: CCG 5 Trucks 809-813
Formula: =MAX(0, Opening - Principal)
Prevents negative closing balance</t>
      </text>
    </comment>
    <comment ref="C67" authorId="0" shapeId="0">
      <text>
        <t>Loan: CCG 5 Trucks 809-813
Formula: Prior month closing balance</t>
      </text>
    </comment>
    <comment ref="D67" authorId="0" shapeId="0">
      <text>
        <t>Loan: CCG 5 Trucks 809-813
Formula: =MAX(0, Opening * AnnualRate / 12)
Prevents negative interest</t>
      </text>
    </comment>
    <comment ref="E67" authorId="0" shapeId="0">
      <text>
        <t>Loan: CCG 5 Trucks 809-813
Formula: =MAX(0, MIN(Opening, Payment - Interest))
Ensures principal does not exceed opening balance</t>
      </text>
    </comment>
    <comment ref="F67" authorId="0" shapeId="0">
      <text>
        <t>Loan: CCG 5 Trucks 809-813
Formula: =MAX(0, Opening - Principal)
Prevents negative closing balance</t>
      </text>
    </comment>
    <comment ref="C68" authorId="0" shapeId="0">
      <text>
        <t>Loan: CCG 5 Trucks 809-813
Formula: Prior month closing balance</t>
      </text>
    </comment>
    <comment ref="D68" authorId="0" shapeId="0">
      <text>
        <t>Loan: CCG 5 Trucks 809-813
Formula: =MAX(0, Opening * AnnualRate / 12)
Prevents negative interest</t>
      </text>
    </comment>
    <comment ref="E68" authorId="0" shapeId="0">
      <text>
        <t>Loan: CCG 5 Trucks 809-813
Formula: =MAX(0, MIN(Opening, Payment - Interest))
Ensures principal does not exceed opening balance</t>
      </text>
    </comment>
    <comment ref="F68" authorId="0" shapeId="0">
      <text>
        <t>Loan: CCG 5 Trucks 809-813
Formula: =MAX(0, Opening - Principal)
Prevents negative closing balance</t>
      </text>
    </comment>
    <comment ref="C69" authorId="0" shapeId="0">
      <text>
        <t>Loan: CCG 5 Trucks 809-813
Formula: Prior month closing balance</t>
      </text>
    </comment>
    <comment ref="D69" authorId="0" shapeId="0">
      <text>
        <t>Loan: CCG 5 Trucks 809-813
Formula: =MAX(0, Opening * AnnualRate / 12)
Prevents negative interest</t>
      </text>
    </comment>
    <comment ref="E69" authorId="0" shapeId="0">
      <text>
        <t>Loan: CCG 5 Trucks 809-813
Formula: =MAX(0, MIN(Opening, Payment - Interest))
Ensures principal does not exceed opening balance</t>
      </text>
    </comment>
    <comment ref="F69" authorId="0" shapeId="0">
      <text>
        <t>Loan: CCG 5 Trucks 809-813
Formula: =MAX(0, Opening - Principal)
Prevents negative closing balance</t>
      </text>
    </comment>
    <comment ref="C70" authorId="0" shapeId="0">
      <text>
        <t>Loan: CCG 5 Trucks 809-813
Formula: Prior month closing balance</t>
      </text>
    </comment>
    <comment ref="D70" authorId="0" shapeId="0">
      <text>
        <t>Loan: CCG 5 Trucks 809-813
Formula: =MAX(0, Opening * AnnualRate / 12)
Prevents negative interest</t>
      </text>
    </comment>
    <comment ref="E70" authorId="0" shapeId="0">
      <text>
        <t>Loan: CCG 5 Trucks 809-813
Formula: =MAX(0, MIN(Opening, Payment - Interest))
Ensures principal does not exceed opening balance</t>
      </text>
    </comment>
    <comment ref="F70" authorId="0" shapeId="0">
      <text>
        <t>Loan: CCG 5 Trucks 809-813
Formula: =MAX(0, Opening - Principal)
Prevents negative closing balance</t>
      </text>
    </comment>
    <comment ref="C71" authorId="0" shapeId="0">
      <text>
        <t>Loan: CCG 5 Trucks 809-813
Formula: Prior month closing balance</t>
      </text>
    </comment>
    <comment ref="D71" authorId="0" shapeId="0">
      <text>
        <t>Loan: CCG 5 Trucks 809-813
Formula: =MAX(0, Opening * AnnualRate / 12)
Prevents negative interest</t>
      </text>
    </comment>
    <comment ref="E71" authorId="0" shapeId="0">
      <text>
        <t>Loan: CCG 5 Trucks 809-813
Formula: =MAX(0, MIN(Opening, Payment - Interest))
Ensures principal does not exceed opening balance</t>
      </text>
    </comment>
    <comment ref="F71" authorId="0" shapeId="0">
      <text>
        <t>Loan: CCG 5 Trucks 809-813
Formula: =MAX(0, Opening - Principal)
Prevents negative closing balance</t>
      </text>
    </comment>
    <comment ref="C72" authorId="0" shapeId="0">
      <text>
        <t>Loan: CCG 5 Trucks 809-813
Formula: Prior month closing balance</t>
      </text>
    </comment>
    <comment ref="D72" authorId="0" shapeId="0">
      <text>
        <t>Loan: CCG 5 Trucks 809-813
Formula: =MAX(0, Opening * AnnualRate / 12)
Prevents negative interest</t>
      </text>
    </comment>
    <comment ref="E72" authorId="0" shapeId="0">
      <text>
        <t>Loan: CCG 5 Trucks 809-813
Formula: =MAX(0, MIN(Opening, Payment - Interest))
Ensures principal does not exceed opening balance</t>
      </text>
    </comment>
    <comment ref="F72" authorId="0" shapeId="0">
      <text>
        <t>Loan: CCG 5 Trucks 809-813
Formula: =MAX(0, Opening - Principal)
Prevents negative closing balance</t>
      </text>
    </comment>
    <comment ref="C73" authorId="0" shapeId="0">
      <text>
        <t>Loan: CCG 5 Trucks 809-813
Formula: Prior month closing balance</t>
      </text>
    </comment>
    <comment ref="D73" authorId="0" shapeId="0">
      <text>
        <t>Loan: CCG 5 Trucks 809-813
Formula: =MAX(0, Opening * AnnualRate / 12)
Prevents negative interest</t>
      </text>
    </comment>
    <comment ref="E73" authorId="0" shapeId="0">
      <text>
        <t>Loan: CCG 5 Trucks 809-813
Formula: =MAX(0, MIN(Opening, Payment - Interest))
Ensures principal does not exceed opening balance</t>
      </text>
    </comment>
    <comment ref="F73" authorId="0" shapeId="0">
      <text>
        <t>Loan: CCG 5 Trucks 809-813
Formula: =MAX(0, Opening - Principal)
Prevents negative closing balance</t>
      </text>
    </comment>
    <comment ref="C74" authorId="0" shapeId="0">
      <text>
        <t>Loan: CCG 5 Trucks 809-813
Formula: Prior month closing balance</t>
      </text>
    </comment>
    <comment ref="D74" authorId="0" shapeId="0">
      <text>
        <t>Loan: CCG 5 Trucks 809-813
Formula: =MAX(0, Opening * AnnualRate / 12)
Prevents negative interest</t>
      </text>
    </comment>
    <comment ref="E74" authorId="0" shapeId="0">
      <text>
        <t>Loan: CCG 5 Trucks 809-813
Formula: =MAX(0, MIN(Opening, Payment - Interest))
Ensures principal does not exceed opening balance</t>
      </text>
    </comment>
    <comment ref="F74" authorId="0" shapeId="0">
      <text>
        <t>Loan: CCG 5 Trucks 809-813
Formula: =MAX(0, Opening - Principal)
Prevents negative closing balance</t>
      </text>
    </comment>
    <comment ref="C75" authorId="0" shapeId="0">
      <text>
        <t>Loan: CCG 5 Trucks 809-813
Formula: Prior month closing balance</t>
      </text>
    </comment>
    <comment ref="D75" authorId="0" shapeId="0">
      <text>
        <t>Loan: CCG 5 Trucks 809-813
Formula: =MAX(0, Opening * AnnualRate / 12)
Prevents negative interest</t>
      </text>
    </comment>
    <comment ref="E75" authorId="0" shapeId="0">
      <text>
        <t>Loan: CCG 5 Trucks 809-813
Formula: =MAX(0, MIN(Opening, Payment - Interest))
Ensures principal does not exceed opening balance</t>
      </text>
    </comment>
    <comment ref="F75" authorId="0" shapeId="0">
      <text>
        <t>Loan: CCG 5 Trucks 809-813
Formula: =MAX(0, Opening - Principal)
Prevents negative closing balance</t>
      </text>
    </comment>
    <comment ref="C76" authorId="0" shapeId="0">
      <text>
        <t>Loan: CCG 5 Trucks 809-813
Formula: Prior month closing balance</t>
      </text>
    </comment>
    <comment ref="D76" authorId="0" shapeId="0">
      <text>
        <t>Loan: CCG 5 Trucks 809-813
Formula: =MAX(0, Opening * AnnualRate / 12)
Prevents negative interest</t>
      </text>
    </comment>
    <comment ref="E76" authorId="0" shapeId="0">
      <text>
        <t>Loan: CCG 5 Trucks 809-813
Formula: =MAX(0, MIN(Opening, Payment - Interest))
Ensures principal does not exceed opening balance</t>
      </text>
    </comment>
    <comment ref="F76" authorId="0" shapeId="0">
      <text>
        <t>Loan: CCG 5 Trucks 809-813
Formula: =MAX(0, Opening - Principal)
Prevents negative closing balance</t>
      </text>
    </comment>
    <comment ref="C77" authorId="0" shapeId="0">
      <text>
        <t>Loan: CCG 5 Trucks 809-813
Formula: Prior month closing balance</t>
      </text>
    </comment>
    <comment ref="D77" authorId="0" shapeId="0">
      <text>
        <t>Loan: CCG 5 Trucks 809-813
Formula: =MAX(0, Opening * AnnualRate / 12)
Prevents negative interest</t>
      </text>
    </comment>
    <comment ref="E77" authorId="0" shapeId="0">
      <text>
        <t>Loan: CCG 5 Trucks 809-813
Formula: =MAX(0, MIN(Opening, Payment - Interest))
Ensures principal does not exceed opening balance</t>
      </text>
    </comment>
    <comment ref="F77" authorId="0" shapeId="0">
      <text>
        <t>Loan: CCG 5 Trucks 809-813
Formula: =MAX(0, Opening - Principal)
Prevents negative closing balance</t>
      </text>
    </comment>
    <comment ref="C78" authorId="0" shapeId="0">
      <text>
        <t>Loan: CCG 5 Trucks 809-813
Formula: Prior month closing balance</t>
      </text>
    </comment>
    <comment ref="D78" authorId="0" shapeId="0">
      <text>
        <t>Loan: CCG 5 Trucks 809-813
Formula: =MAX(0, Opening * AnnualRate / 12)
Prevents negative interest</t>
      </text>
    </comment>
    <comment ref="E78" authorId="0" shapeId="0">
      <text>
        <t>Loan: CCG 5 Trucks 809-813
Formula: =MAX(0, MIN(Opening, Payment - Interest))
Ensures principal does not exceed opening balance</t>
      </text>
    </comment>
    <comment ref="F78" authorId="0" shapeId="0">
      <text>
        <t>Loan: CCG 5 Trucks 809-813
Formula: =MAX(0, Opening - Principal)
Prevents negative closing balance</t>
      </text>
    </comment>
    <comment ref="C79" authorId="0" shapeId="0">
      <text>
        <t>Loan: CCG 5 Trucks 809-813
Formula: Prior month closing balance</t>
      </text>
    </comment>
    <comment ref="D79" authorId="0" shapeId="0">
      <text>
        <t>Loan: CCG 5 Trucks 809-813
Formula: =MAX(0, Opening * AnnualRate / 12)
Prevents negative interest</t>
      </text>
    </comment>
    <comment ref="E79" authorId="0" shapeId="0">
      <text>
        <t>Loan: CCG 5 Trucks 809-813
Formula: =MAX(0, MIN(Opening, Payment - Interest))
Ensures principal does not exceed opening balance</t>
      </text>
    </comment>
    <comment ref="F79" authorId="0" shapeId="0">
      <text>
        <t>Loan: CCG 5 Trucks 809-813
Formula: =MAX(0, Opening - Principal)
Prevents negative closing balance</t>
      </text>
    </comment>
    <comment ref="C80" authorId="0" shapeId="0">
      <text>
        <t>Loan: CCG 5 Trucks 809-813
Formula: Prior month closing balance</t>
      </text>
    </comment>
    <comment ref="D80" authorId="0" shapeId="0">
      <text>
        <t>Loan: CCG 5 Trucks 809-813
Formula: =MAX(0, Opening * AnnualRate / 12)
Prevents negative interest</t>
      </text>
    </comment>
    <comment ref="E80" authorId="0" shapeId="0">
      <text>
        <t>Loan: CCG 5 Trucks 809-813
Formula: =MAX(0, MIN(Opening, Payment - Interest))
Ensures principal does not exceed opening balance</t>
      </text>
    </comment>
    <comment ref="F80" authorId="0" shapeId="0">
      <text>
        <t>Loan: CCG 5 Trucks 809-813
Formula: =MAX(0, Opening - Principal)
Prevents negative closing balance</t>
      </text>
    </comment>
    <comment ref="C81" authorId="0" shapeId="0">
      <text>
        <t>Loan: CCG 5 Trucks 809-813
Formula: Prior month closing balance</t>
      </text>
    </comment>
    <comment ref="D81" authorId="0" shapeId="0">
      <text>
        <t>Loan: CCG 5 Trucks 809-813
Formula: =MAX(0, Opening * AnnualRate / 12)
Prevents negative interest</t>
      </text>
    </comment>
    <comment ref="E81" authorId="0" shapeId="0">
      <text>
        <t>Loan: CCG 5 Trucks 809-813
Formula: =MAX(0, MIN(Opening, Payment - Interest))
Ensures principal does not exceed opening balance</t>
      </text>
    </comment>
    <comment ref="F81" authorId="0" shapeId="0">
      <text>
        <t>Loan: CCG 5 Trucks 809-813
Formula: =MAX(0, Opening - Principal)
Prevents negative closing balance</t>
      </text>
    </comment>
    <comment ref="C82" authorId="0" shapeId="0">
      <text>
        <t>Loan: CCG 5 Trucks 809-813
Formula: Prior month closing balance</t>
      </text>
    </comment>
    <comment ref="D82" authorId="0" shapeId="0">
      <text>
        <t>Loan: CCG 5 Trucks 809-813
Formula: =MAX(0, Opening * AnnualRate / 12)
Prevents negative interest</t>
      </text>
    </comment>
    <comment ref="E82" authorId="0" shapeId="0">
      <text>
        <t>Loan: CCG 5 Trucks 809-813
Formula: =MAX(0, MIN(Opening, Payment - Interest))
Ensures principal does not exceed opening balance</t>
      </text>
    </comment>
    <comment ref="F82" authorId="0" shapeId="0">
      <text>
        <t>Loan: CCG 5 Trucks 809-813
Formula: =MAX(0, Opening - Principal)
Prevents negative closing balance</t>
      </text>
    </comment>
    <comment ref="C83" authorId="0" shapeId="0">
      <text>
        <t>Loan: CCG 5 Trucks 809-813
Formula: Prior month closing balance</t>
      </text>
    </comment>
    <comment ref="D83" authorId="0" shapeId="0">
      <text>
        <t>Loan: CCG 5 Trucks 809-813
Formula: =MAX(0, Opening * AnnualRate / 12)
Prevents negative interest</t>
      </text>
    </comment>
    <comment ref="E83" authorId="0" shapeId="0">
      <text>
        <t>Loan: CCG 5 Trucks 809-813
Formula: =MAX(0, MIN(Opening, Payment - Interest))
Ensures principal does not exceed opening balance</t>
      </text>
    </comment>
    <comment ref="F83" authorId="0" shapeId="0">
      <text>
        <t>Loan: CCG 5 Trucks 809-813
Formula: =MAX(0, Opening - Principal)
Prevents negative closing balance</t>
      </text>
    </comment>
    <comment ref="C84" authorId="0" shapeId="0">
      <text>
        <t>Loan: CCG 5 Trucks 809-813
Formula: Prior month closing balance</t>
      </text>
    </comment>
    <comment ref="D84" authorId="0" shapeId="0">
      <text>
        <t>Loan: CCG 5 Trucks 809-813
Formula: =MAX(0, Opening * AnnualRate / 12)
Prevents negative interest</t>
      </text>
    </comment>
    <comment ref="E84" authorId="0" shapeId="0">
      <text>
        <t>Loan: CCG 5 Trucks 809-813
Formula: =MAX(0, MIN(Opening, Payment - Interest))
Ensures principal does not exceed opening balance</t>
      </text>
    </comment>
    <comment ref="F84" authorId="0" shapeId="0">
      <text>
        <t>Loan: CCG 5 Trucks 809-813
Formula: =MAX(0, Opening - Principal)
Prevents negative closing balance</t>
      </text>
    </comment>
    <comment ref="C85" authorId="0" shapeId="0">
      <text>
        <t>Loan: CCG 5 Trucks 809-813
Formula: Prior month closing balance</t>
      </text>
    </comment>
    <comment ref="D85" authorId="0" shapeId="0">
      <text>
        <t>Loan: CCG 5 Trucks 809-813
Formula: =MAX(0, Opening * AnnualRate / 12)
Prevents negative interest</t>
      </text>
    </comment>
    <comment ref="E85" authorId="0" shapeId="0">
      <text>
        <t>Loan: CCG 5 Trucks 809-813
Formula: =MAX(0, MIN(Opening, Payment - Interest))
Ensures principal does not exceed opening balance</t>
      </text>
    </comment>
    <comment ref="F85" authorId="0" shapeId="0">
      <text>
        <t>Loan: CCG 5 Trucks 809-813
Formula: =MAX(0, Opening - Principal)
Prevents negative closing balance</t>
      </text>
    </comment>
    <comment ref="C86" authorId="0" shapeId="0">
      <text>
        <t>Loan: CCG 5 Trucks 809-813
Formula: Prior month closing balance</t>
      </text>
    </comment>
    <comment ref="D86" authorId="0" shapeId="0">
      <text>
        <t>Loan: CCG 5 Trucks 809-813
Formula: =MAX(0, Opening * AnnualRate / 12)
Prevents negative interest</t>
      </text>
    </comment>
    <comment ref="E86" authorId="0" shapeId="0">
      <text>
        <t>Loan: CCG 5 Trucks 809-813
Formula: =MAX(0, MIN(Opening, Payment - Interest))
Ensures principal does not exceed opening balance</t>
      </text>
    </comment>
    <comment ref="F86" authorId="0" shapeId="0">
      <text>
        <t>Loan: CCG 5 Trucks 809-813
Formula: =MAX(0, Opening - Principal)
Prevents negative closing balance</t>
      </text>
    </comment>
    <comment ref="C87" authorId="0" shapeId="0">
      <text>
        <t>Loan: CCG 5 Trucks 809-813
Formula: Prior month closing balance</t>
      </text>
    </comment>
    <comment ref="D87" authorId="0" shapeId="0">
      <text>
        <t>Loan: CCG 5 Trucks 809-813
Formula: =MAX(0, Opening * AnnualRate / 12)
Prevents negative interest</t>
      </text>
    </comment>
    <comment ref="E87" authorId="0" shapeId="0">
      <text>
        <t>Loan: CCG 5 Trucks 809-813
Formula: =MAX(0, MIN(Opening, Payment - Interest))
Ensures principal does not exceed opening balance</t>
      </text>
    </comment>
    <comment ref="F87" authorId="0" shapeId="0">
      <text>
        <t>Loan: CCG 5 Trucks 809-813
Formula: =MAX(0, Opening - Principal)
Prevents negative closing balance</t>
      </text>
    </comment>
    <comment ref="D88" authorId="0" shapeId="0">
      <text>
        <t>Sum of rows 31-87: Total interest over loan life</t>
      </text>
    </comment>
    <comment ref="E88" authorId="0" shapeId="0">
      <text>
        <t>Sum of rows 31-87: Total principal over loan life</t>
      </text>
    </comment>
    <comment ref="B94" authorId="0" shapeId="0">
      <text>
        <t>Source: data/loans.md - CCG 6 Trucks 814-819
Original balance at origination</t>
      </text>
    </comment>
    <comment ref="B95" authorId="0" shapeId="0">
      <text>
        <t>Source: data/loans.md - CCG 6 Trucks 814-819
Balance as of Nov 30, 2025</t>
      </text>
    </comment>
    <comment ref="B96" authorId="0" shapeId="0">
      <text>
        <t>Source: data/loans.md - CCG 6 Trucks 814-819
Fixed rate: 10.50%</t>
      </text>
    </comment>
    <comment ref="B97" authorId="0" shapeId="0">
      <text>
        <t>Source: data/loans.md - CCG 6 Trucks 814-819
Fixed monthly P&amp;I payment</t>
      </text>
    </comment>
    <comment ref="C105" authorId="0" shapeId="0">
      <text>
        <t>Loan: CCG 6 Trucks 814-819
Source: data/loans.md
Opening balance from Nov 2025 remaining balance</t>
      </text>
    </comment>
    <comment ref="D105" authorId="0" shapeId="0">
      <text>
        <t>Loan: CCG 6 Trucks 814-819
Formula: =MAX(0, Opening * AnnualRate / 12)
Prevents negative interest</t>
      </text>
    </comment>
    <comment ref="E105" authorId="0" shapeId="0">
      <text>
        <t>Loan: CCG 6 Trucks 814-819
Formula: =MAX(0, MIN(Opening, Payment - Interest))
Ensures principal does not exceed opening balance</t>
      </text>
    </comment>
    <comment ref="F105" authorId="0" shapeId="0">
      <text>
        <t>Loan: CCG 6 Trucks 814-819
Formula: =MAX(0, Opening - Principal)
Prevents negative closing balance</t>
      </text>
    </comment>
    <comment ref="C106" authorId="0" shapeId="0">
      <text>
        <t>Loan: CCG 6 Trucks 814-819
Formula: Prior month closing balance</t>
      </text>
    </comment>
    <comment ref="D106" authorId="0" shapeId="0">
      <text>
        <t>Loan: CCG 6 Trucks 814-819
Formula: =MAX(0, Opening * AnnualRate / 12)
Prevents negative interest</t>
      </text>
    </comment>
    <comment ref="E106" authorId="0" shapeId="0">
      <text>
        <t>Loan: CCG 6 Trucks 814-819
Formula: =MAX(0, MIN(Opening, Payment - Interest))
Ensures principal does not exceed opening balance</t>
      </text>
    </comment>
    <comment ref="F106" authorId="0" shapeId="0">
      <text>
        <t>Loan: CCG 6 Trucks 814-819
Formula: =MAX(0, Opening - Principal)
Prevents negative closing balance</t>
      </text>
    </comment>
    <comment ref="C107" authorId="0" shapeId="0">
      <text>
        <t>Loan: CCG 6 Trucks 814-819
Formula: Prior month closing balance</t>
      </text>
    </comment>
    <comment ref="D107" authorId="0" shapeId="0">
      <text>
        <t>Loan: CCG 6 Trucks 814-819
Formula: =MAX(0, Opening * AnnualRate / 12)
Prevents negative interest</t>
      </text>
    </comment>
    <comment ref="E107" authorId="0" shapeId="0">
      <text>
        <t>Loan: CCG 6 Trucks 814-819
Formula: =MAX(0, MIN(Opening, Payment - Interest))
Ensures principal does not exceed opening balance</t>
      </text>
    </comment>
    <comment ref="F107" authorId="0" shapeId="0">
      <text>
        <t>Loan: CCG 6 Trucks 814-819
Formula: =MAX(0, Opening - Principal)
Prevents negative closing balance</t>
      </text>
    </comment>
    <comment ref="C108" authorId="0" shapeId="0">
      <text>
        <t>Loan: CCG 6 Trucks 814-819
Formula: Prior month closing balance</t>
      </text>
    </comment>
    <comment ref="D108" authorId="0" shapeId="0">
      <text>
        <t>Loan: CCG 6 Trucks 814-819
Formula: =MAX(0, Opening * AnnualRate / 12)
Prevents negative interest</t>
      </text>
    </comment>
    <comment ref="E108" authorId="0" shapeId="0">
      <text>
        <t>Loan: CCG 6 Trucks 814-819
Formula: =MAX(0, MIN(Opening, Payment - Interest))
Ensures principal does not exceed opening balance</t>
      </text>
    </comment>
    <comment ref="F108" authorId="0" shapeId="0">
      <text>
        <t>Loan: CCG 6 Trucks 814-819
Formula: =MAX(0, Opening - Principal)
Prevents negative closing balance</t>
      </text>
    </comment>
    <comment ref="C109" authorId="0" shapeId="0">
      <text>
        <t>Loan: CCG 6 Trucks 814-819
Formula: Prior month closing balance</t>
      </text>
    </comment>
    <comment ref="D109" authorId="0" shapeId="0">
      <text>
        <t>Loan: CCG 6 Trucks 814-819
Formula: =MAX(0, Opening * AnnualRate / 12)
Prevents negative interest</t>
      </text>
    </comment>
    <comment ref="E109" authorId="0" shapeId="0">
      <text>
        <t>Loan: CCG 6 Trucks 814-819
Formula: =MAX(0, MIN(Opening, Payment - Interest))
Ensures principal does not exceed opening balance</t>
      </text>
    </comment>
    <comment ref="F109" authorId="0" shapeId="0">
      <text>
        <t>Loan: CCG 6 Trucks 814-819
Formula: =MAX(0, Opening - Principal)
Prevents negative closing balance</t>
      </text>
    </comment>
    <comment ref="C110" authorId="0" shapeId="0">
      <text>
        <t>Loan: CCG 6 Trucks 814-819
Formula: Prior month closing balance</t>
      </text>
    </comment>
    <comment ref="D110" authorId="0" shapeId="0">
      <text>
        <t>Loan: CCG 6 Trucks 814-819
Formula: =MAX(0, Opening * AnnualRate / 12)
Prevents negative interest</t>
      </text>
    </comment>
    <comment ref="E110" authorId="0" shapeId="0">
      <text>
        <t>Loan: CCG 6 Trucks 814-819
Formula: =MAX(0, MIN(Opening, Payment - Interest))
Ensures principal does not exceed opening balance</t>
      </text>
    </comment>
    <comment ref="F110" authorId="0" shapeId="0">
      <text>
        <t>Loan: CCG 6 Trucks 814-819
Formula: =MAX(0, Opening - Principal)
Prevents negative closing balance</t>
      </text>
    </comment>
    <comment ref="C111" authorId="0" shapeId="0">
      <text>
        <t>Loan: CCG 6 Trucks 814-819
Formula: Prior month closing balance</t>
      </text>
    </comment>
    <comment ref="D111" authorId="0" shapeId="0">
      <text>
        <t>Loan: CCG 6 Trucks 814-819
Formula: =MAX(0, Opening * AnnualRate / 12)
Prevents negative interest</t>
      </text>
    </comment>
    <comment ref="E111" authorId="0" shapeId="0">
      <text>
        <t>Loan: CCG 6 Trucks 814-819
Formula: =MAX(0, MIN(Opening, Payment - Interest))
Ensures principal does not exceed opening balance</t>
      </text>
    </comment>
    <comment ref="F111" authorId="0" shapeId="0">
      <text>
        <t>Loan: CCG 6 Trucks 814-819
Formula: =MAX(0, Opening - Principal)
Prevents negative closing balance</t>
      </text>
    </comment>
    <comment ref="C112" authorId="0" shapeId="0">
      <text>
        <t>Loan: CCG 6 Trucks 814-819
Formula: Prior month closing balance</t>
      </text>
    </comment>
    <comment ref="D112" authorId="0" shapeId="0">
      <text>
        <t>Loan: CCG 6 Trucks 814-819
Formula: =MAX(0, Opening * AnnualRate / 12)
Prevents negative interest</t>
      </text>
    </comment>
    <comment ref="E112" authorId="0" shapeId="0">
      <text>
        <t>Loan: CCG 6 Trucks 814-819
Formula: =MAX(0, MIN(Opening, Payment - Interest))
Ensures principal does not exceed opening balance</t>
      </text>
    </comment>
    <comment ref="F112" authorId="0" shapeId="0">
      <text>
        <t>Loan: CCG 6 Trucks 814-819
Formula: =MAX(0, Opening - Principal)
Prevents negative closing balance</t>
      </text>
    </comment>
    <comment ref="C113" authorId="0" shapeId="0">
      <text>
        <t>Loan: CCG 6 Trucks 814-819
Formula: Prior month closing balance</t>
      </text>
    </comment>
    <comment ref="D113" authorId="0" shapeId="0">
      <text>
        <t>Loan: CCG 6 Trucks 814-819
Formula: =MAX(0, Opening * AnnualRate / 12)
Prevents negative interest</t>
      </text>
    </comment>
    <comment ref="E113" authorId="0" shapeId="0">
      <text>
        <t>Loan: CCG 6 Trucks 814-819
Formula: =MAX(0, MIN(Opening, Payment - Interest))
Ensures principal does not exceed opening balance</t>
      </text>
    </comment>
    <comment ref="F113" authorId="0" shapeId="0">
      <text>
        <t>Loan: CCG 6 Trucks 814-819
Formula: =MAX(0, Opening - Principal)
Prevents negative closing balance</t>
      </text>
    </comment>
    <comment ref="C114" authorId="0" shapeId="0">
      <text>
        <t>Loan: CCG 6 Trucks 814-819
Formula: Prior month closing balance</t>
      </text>
    </comment>
    <comment ref="D114" authorId="0" shapeId="0">
      <text>
        <t>Loan: CCG 6 Trucks 814-819
Formula: =MAX(0, Opening * AnnualRate / 12)
Prevents negative interest</t>
      </text>
    </comment>
    <comment ref="E114" authorId="0" shapeId="0">
      <text>
        <t>Loan: CCG 6 Trucks 814-819
Formula: =MAX(0, MIN(Opening, Payment - Interest))
Ensures principal does not exceed opening balance</t>
      </text>
    </comment>
    <comment ref="F114" authorId="0" shapeId="0">
      <text>
        <t>Loan: CCG 6 Trucks 814-819
Formula: =MAX(0, Opening - Principal)
Prevents negative closing balance</t>
      </text>
    </comment>
    <comment ref="C115" authorId="0" shapeId="0">
      <text>
        <t>Loan: CCG 6 Trucks 814-819
Formula: Prior month closing balance</t>
      </text>
    </comment>
    <comment ref="D115" authorId="0" shapeId="0">
      <text>
        <t>Loan: CCG 6 Trucks 814-819
Formula: =MAX(0, Opening * AnnualRate / 12)
Prevents negative interest</t>
      </text>
    </comment>
    <comment ref="E115" authorId="0" shapeId="0">
      <text>
        <t>Loan: CCG 6 Trucks 814-819
Formula: =MAX(0, MIN(Opening, Payment - Interest))
Ensures principal does not exceed opening balance</t>
      </text>
    </comment>
    <comment ref="F115" authorId="0" shapeId="0">
      <text>
        <t>Loan: CCG 6 Trucks 814-819
Formula: =MAX(0, Opening - Principal)
Prevents negative closing balance</t>
      </text>
    </comment>
    <comment ref="C116" authorId="0" shapeId="0">
      <text>
        <t>Loan: CCG 6 Trucks 814-819
Formula: Prior month closing balance</t>
      </text>
    </comment>
    <comment ref="D116" authorId="0" shapeId="0">
      <text>
        <t>Loan: CCG 6 Trucks 814-819
Formula: =MAX(0, Opening * AnnualRate / 12)
Prevents negative interest</t>
      </text>
    </comment>
    <comment ref="E116" authorId="0" shapeId="0">
      <text>
        <t>Loan: CCG 6 Trucks 814-819
Formula: =MAX(0, MIN(Opening, Payment - Interest))
Ensures principal does not exceed opening balance</t>
      </text>
    </comment>
    <comment ref="F116" authorId="0" shapeId="0">
      <text>
        <t>Loan: CCG 6 Trucks 814-819
Formula: =MAX(0, Opening - Principal)
Prevents negative closing balance</t>
      </text>
    </comment>
    <comment ref="C117" authorId="0" shapeId="0">
      <text>
        <t>Loan: CCG 6 Trucks 814-819
Formula: Prior month closing balance</t>
      </text>
    </comment>
    <comment ref="D117" authorId="0" shapeId="0">
      <text>
        <t>Loan: CCG 6 Trucks 814-819
Formula: =MAX(0, Opening * AnnualRate / 12)
Prevents negative interest</t>
      </text>
    </comment>
    <comment ref="E117" authorId="0" shapeId="0">
      <text>
        <t>Loan: CCG 6 Trucks 814-819
Formula: =MAX(0, MIN(Opening, Payment - Interest))
Ensures principal does not exceed opening balance</t>
      </text>
    </comment>
    <comment ref="F117" authorId="0" shapeId="0">
      <text>
        <t>Loan: CCG 6 Trucks 814-819
Formula: =MAX(0, Opening - Principal)
Prevents negative closing balance</t>
      </text>
    </comment>
    <comment ref="C118" authorId="0" shapeId="0">
      <text>
        <t>Loan: CCG 6 Trucks 814-819
Formula: Prior month closing balance</t>
      </text>
    </comment>
    <comment ref="D118" authorId="0" shapeId="0">
      <text>
        <t>Loan: CCG 6 Trucks 814-819
Formula: =MAX(0, Opening * AnnualRate / 12)
Prevents negative interest</t>
      </text>
    </comment>
    <comment ref="E118" authorId="0" shapeId="0">
      <text>
        <t>Loan: CCG 6 Trucks 814-819
Formula: =MAX(0, MIN(Opening, Payment - Interest))
Ensures principal does not exceed opening balance</t>
      </text>
    </comment>
    <comment ref="F118" authorId="0" shapeId="0">
      <text>
        <t>Loan: CCG 6 Trucks 814-819
Formula: =MAX(0, Opening - Principal)
Prevents negative closing balance</t>
      </text>
    </comment>
    <comment ref="C119" authorId="0" shapeId="0">
      <text>
        <t>Loan: CCG 6 Trucks 814-819
Formula: Prior month closing balance</t>
      </text>
    </comment>
    <comment ref="D119" authorId="0" shapeId="0">
      <text>
        <t>Loan: CCG 6 Trucks 814-819
Formula: =MAX(0, Opening * AnnualRate / 12)
Prevents negative interest</t>
      </text>
    </comment>
    <comment ref="E119" authorId="0" shapeId="0">
      <text>
        <t>Loan: CCG 6 Trucks 814-819
Formula: =MAX(0, MIN(Opening, Payment - Interest))
Ensures principal does not exceed opening balance</t>
      </text>
    </comment>
    <comment ref="F119" authorId="0" shapeId="0">
      <text>
        <t>Loan: CCG 6 Trucks 814-819
Formula: =MAX(0, Opening - Principal)
Prevents negative closing balance</t>
      </text>
    </comment>
    <comment ref="C120" authorId="0" shapeId="0">
      <text>
        <t>Loan: CCG 6 Trucks 814-819
Formula: Prior month closing balance</t>
      </text>
    </comment>
    <comment ref="D120" authorId="0" shapeId="0">
      <text>
        <t>Loan: CCG 6 Trucks 814-819
Formula: =MAX(0, Opening * AnnualRate / 12)
Prevents negative interest</t>
      </text>
    </comment>
    <comment ref="E120" authorId="0" shapeId="0">
      <text>
        <t>Loan: CCG 6 Trucks 814-819
Formula: =MAX(0, MIN(Opening, Payment - Interest))
Ensures principal does not exceed opening balance</t>
      </text>
    </comment>
    <comment ref="F120" authorId="0" shapeId="0">
      <text>
        <t>Loan: CCG 6 Trucks 814-819
Formula: =MAX(0, Opening - Principal)
Prevents negative closing balance</t>
      </text>
    </comment>
    <comment ref="C121" authorId="0" shapeId="0">
      <text>
        <t>Loan: CCG 6 Trucks 814-819
Formula: Prior month closing balance</t>
      </text>
    </comment>
    <comment ref="D121" authorId="0" shapeId="0">
      <text>
        <t>Loan: CCG 6 Trucks 814-819
Formula: =MAX(0, Opening * AnnualRate / 12)
Prevents negative interest</t>
      </text>
    </comment>
    <comment ref="E121" authorId="0" shapeId="0">
      <text>
        <t>Loan: CCG 6 Trucks 814-819
Formula: =MAX(0, MIN(Opening, Payment - Interest))
Ensures principal does not exceed opening balance</t>
      </text>
    </comment>
    <comment ref="F121" authorId="0" shapeId="0">
      <text>
        <t>Loan: CCG 6 Trucks 814-819
Formula: =MAX(0, Opening - Principal)
Prevents negative closing balance</t>
      </text>
    </comment>
    <comment ref="C122" authorId="0" shapeId="0">
      <text>
        <t>Loan: CCG 6 Trucks 814-819
Formula: Prior month closing balance</t>
      </text>
    </comment>
    <comment ref="D122" authorId="0" shapeId="0">
      <text>
        <t>Loan: CCG 6 Trucks 814-819
Formula: =MAX(0, Opening * AnnualRate / 12)
Prevents negative interest</t>
      </text>
    </comment>
    <comment ref="E122" authorId="0" shapeId="0">
      <text>
        <t>Loan: CCG 6 Trucks 814-819
Formula: =MAX(0, MIN(Opening, Payment - Interest))
Ensures principal does not exceed opening balance</t>
      </text>
    </comment>
    <comment ref="F122" authorId="0" shapeId="0">
      <text>
        <t>Loan: CCG 6 Trucks 814-819
Formula: =MAX(0, Opening - Principal)
Prevents negative closing balance</t>
      </text>
    </comment>
    <comment ref="C123" authorId="0" shapeId="0">
      <text>
        <t>Loan: CCG 6 Trucks 814-819
Formula: Prior month closing balance</t>
      </text>
    </comment>
    <comment ref="D123" authorId="0" shapeId="0">
      <text>
        <t>Loan: CCG 6 Trucks 814-819
Formula: =MAX(0, Opening * AnnualRate / 12)
Prevents negative interest</t>
      </text>
    </comment>
    <comment ref="E123" authorId="0" shapeId="0">
      <text>
        <t>Loan: CCG 6 Trucks 814-819
Formula: =MAX(0, MIN(Opening, Payment - Interest))
Ensures principal does not exceed opening balance</t>
      </text>
    </comment>
    <comment ref="F123" authorId="0" shapeId="0">
      <text>
        <t>Loan: CCG 6 Trucks 814-819
Formula: =MAX(0, Opening - Principal)
Prevents negative closing balance</t>
      </text>
    </comment>
    <comment ref="C124" authorId="0" shapeId="0">
      <text>
        <t>Loan: CCG 6 Trucks 814-819
Formula: Prior month closing balance</t>
      </text>
    </comment>
    <comment ref="D124" authorId="0" shapeId="0">
      <text>
        <t>Loan: CCG 6 Trucks 814-819
Formula: =MAX(0, Opening * AnnualRate / 12)
Prevents negative interest</t>
      </text>
    </comment>
    <comment ref="E124" authorId="0" shapeId="0">
      <text>
        <t>Loan: CCG 6 Trucks 814-819
Formula: =MAX(0, MIN(Opening, Payment - Interest))
Ensures principal does not exceed opening balance</t>
      </text>
    </comment>
    <comment ref="F124" authorId="0" shapeId="0">
      <text>
        <t>Loan: CCG 6 Trucks 814-819
Formula: =MAX(0, Opening - Principal)
Prevents negative closing balance</t>
      </text>
    </comment>
    <comment ref="C125" authorId="0" shapeId="0">
      <text>
        <t>Loan: CCG 6 Trucks 814-819
Formula: Prior month closing balance</t>
      </text>
    </comment>
    <comment ref="D125" authorId="0" shapeId="0">
      <text>
        <t>Loan: CCG 6 Trucks 814-819
Formula: =MAX(0, Opening * AnnualRate / 12)
Prevents negative interest</t>
      </text>
    </comment>
    <comment ref="E125" authorId="0" shapeId="0">
      <text>
        <t>Loan: CCG 6 Trucks 814-819
Formula: =MAX(0, MIN(Opening, Payment - Interest))
Ensures principal does not exceed opening balance</t>
      </text>
    </comment>
    <comment ref="F125" authorId="0" shapeId="0">
      <text>
        <t>Loan: CCG 6 Trucks 814-819
Formula: =MAX(0, Opening - Principal)
Prevents negative closing balance</t>
      </text>
    </comment>
    <comment ref="C126" authorId="0" shapeId="0">
      <text>
        <t>Loan: CCG 6 Trucks 814-819
Formula: Prior month closing balance</t>
      </text>
    </comment>
    <comment ref="D126" authorId="0" shapeId="0">
      <text>
        <t>Loan: CCG 6 Trucks 814-819
Formula: =MAX(0, Opening * AnnualRate / 12)
Prevents negative interest</t>
      </text>
    </comment>
    <comment ref="E126" authorId="0" shapeId="0">
      <text>
        <t>Loan: CCG 6 Trucks 814-819
Formula: =MAX(0, MIN(Opening, Payment - Interest))
Ensures principal does not exceed opening balance</t>
      </text>
    </comment>
    <comment ref="F126" authorId="0" shapeId="0">
      <text>
        <t>Loan: CCG 6 Trucks 814-819
Formula: =MAX(0, Opening - Principal)
Prevents negative closing balance</t>
      </text>
    </comment>
    <comment ref="C127" authorId="0" shapeId="0">
      <text>
        <t>Loan: CCG 6 Trucks 814-819
Formula: Prior month closing balance</t>
      </text>
    </comment>
    <comment ref="D127" authorId="0" shapeId="0">
      <text>
        <t>Loan: CCG 6 Trucks 814-819
Formula: =MAX(0, Opening * AnnualRate / 12)
Prevents negative interest</t>
      </text>
    </comment>
    <comment ref="E127" authorId="0" shapeId="0">
      <text>
        <t>Loan: CCG 6 Trucks 814-819
Formula: =MAX(0, MIN(Opening, Payment - Interest))
Ensures principal does not exceed opening balance</t>
      </text>
    </comment>
    <comment ref="F127" authorId="0" shapeId="0">
      <text>
        <t>Loan: CCG 6 Trucks 814-819
Formula: =MAX(0, Opening - Principal)
Prevents negative closing balance</t>
      </text>
    </comment>
    <comment ref="C128" authorId="0" shapeId="0">
      <text>
        <t>Loan: CCG 6 Trucks 814-819
Formula: Prior month closing balance</t>
      </text>
    </comment>
    <comment ref="D128" authorId="0" shapeId="0">
      <text>
        <t>Loan: CCG 6 Trucks 814-819
Formula: =MAX(0, Opening * AnnualRate / 12)
Prevents negative interest</t>
      </text>
    </comment>
    <comment ref="E128" authorId="0" shapeId="0">
      <text>
        <t>Loan: CCG 6 Trucks 814-819
Formula: =MAX(0, MIN(Opening, Payment - Interest))
Ensures principal does not exceed opening balance</t>
      </text>
    </comment>
    <comment ref="F128" authorId="0" shapeId="0">
      <text>
        <t>Loan: CCG 6 Trucks 814-819
Formula: =MAX(0, Opening - Principal)
Prevents negative closing balance</t>
      </text>
    </comment>
    <comment ref="C129" authorId="0" shapeId="0">
      <text>
        <t>Loan: CCG 6 Trucks 814-819
Formula: Prior month closing balance</t>
      </text>
    </comment>
    <comment ref="D129" authorId="0" shapeId="0">
      <text>
        <t>Loan: CCG 6 Trucks 814-819
Formula: =MAX(0, Opening * AnnualRate / 12)
Prevents negative interest</t>
      </text>
    </comment>
    <comment ref="E129" authorId="0" shapeId="0">
      <text>
        <t>Loan: CCG 6 Trucks 814-819
Formula: =MAX(0, MIN(Opening, Payment - Interest))
Ensures principal does not exceed opening balance</t>
      </text>
    </comment>
    <comment ref="F129" authorId="0" shapeId="0">
      <text>
        <t>Loan: CCG 6 Trucks 814-819
Formula: =MAX(0, Opening - Principal)
Prevents negative closing balance</t>
      </text>
    </comment>
    <comment ref="C130" authorId="0" shapeId="0">
      <text>
        <t>Loan: CCG 6 Trucks 814-819
Formula: Prior month closing balance</t>
      </text>
    </comment>
    <comment ref="D130" authorId="0" shapeId="0">
      <text>
        <t>Loan: CCG 6 Trucks 814-819
Formula: =MAX(0, Opening * AnnualRate / 12)
Prevents negative interest</t>
      </text>
    </comment>
    <comment ref="E130" authorId="0" shapeId="0">
      <text>
        <t>Loan: CCG 6 Trucks 814-819
Formula: =MAX(0, MIN(Opening, Payment - Interest))
Ensures principal does not exceed opening balance</t>
      </text>
    </comment>
    <comment ref="F130" authorId="0" shapeId="0">
      <text>
        <t>Loan: CCG 6 Trucks 814-819
Formula: =MAX(0, Opening - Principal)
Prevents negative closing balance</t>
      </text>
    </comment>
    <comment ref="C131" authorId="0" shapeId="0">
      <text>
        <t>Loan: CCG 6 Trucks 814-819
Formula: Prior month closing balance</t>
      </text>
    </comment>
    <comment ref="D131" authorId="0" shapeId="0">
      <text>
        <t>Loan: CCG 6 Trucks 814-819
Formula: =MAX(0, Opening * AnnualRate / 12)
Prevents negative interest</t>
      </text>
    </comment>
    <comment ref="E131" authorId="0" shapeId="0">
      <text>
        <t>Loan: CCG 6 Trucks 814-819
Formula: =MAX(0, MIN(Opening, Payment - Interest))
Ensures principal does not exceed opening balance</t>
      </text>
    </comment>
    <comment ref="F131" authorId="0" shapeId="0">
      <text>
        <t>Loan: CCG 6 Trucks 814-819
Formula: =MAX(0, Opening - Principal)
Prevents negative closing balance</t>
      </text>
    </comment>
    <comment ref="C132" authorId="0" shapeId="0">
      <text>
        <t>Loan: CCG 6 Trucks 814-819
Formula: Prior month closing balance</t>
      </text>
    </comment>
    <comment ref="D132" authorId="0" shapeId="0">
      <text>
        <t>Loan: CCG 6 Trucks 814-819
Formula: =MAX(0, Opening * AnnualRate / 12)
Prevents negative interest</t>
      </text>
    </comment>
    <comment ref="E132" authorId="0" shapeId="0">
      <text>
        <t>Loan: CCG 6 Trucks 814-819
Formula: =MAX(0, MIN(Opening, Payment - Interest))
Ensures principal does not exceed opening balance</t>
      </text>
    </comment>
    <comment ref="F132" authorId="0" shapeId="0">
      <text>
        <t>Loan: CCG 6 Trucks 814-819
Formula: =MAX(0, Opening - Principal)
Prevents negative closing balance</t>
      </text>
    </comment>
    <comment ref="C133" authorId="0" shapeId="0">
      <text>
        <t>Loan: CCG 6 Trucks 814-819
Formula: Prior month closing balance</t>
      </text>
    </comment>
    <comment ref="D133" authorId="0" shapeId="0">
      <text>
        <t>Loan: CCG 6 Trucks 814-819
Formula: =MAX(0, Opening * AnnualRate / 12)
Prevents negative interest</t>
      </text>
    </comment>
    <comment ref="E133" authorId="0" shapeId="0">
      <text>
        <t>Loan: CCG 6 Trucks 814-819
Formula: =MAX(0, MIN(Opening, Payment - Interest))
Ensures principal does not exceed opening balance</t>
      </text>
    </comment>
    <comment ref="F133" authorId="0" shapeId="0">
      <text>
        <t>Loan: CCG 6 Trucks 814-819
Formula: =MAX(0, Opening - Principal)
Prevents negative closing balance</t>
      </text>
    </comment>
    <comment ref="C134" authorId="0" shapeId="0">
      <text>
        <t>Loan: CCG 6 Trucks 814-819
Formula: Prior month closing balance</t>
      </text>
    </comment>
    <comment ref="D134" authorId="0" shapeId="0">
      <text>
        <t>Loan: CCG 6 Trucks 814-819
Formula: =MAX(0, Opening * AnnualRate / 12)
Prevents negative interest</t>
      </text>
    </comment>
    <comment ref="E134" authorId="0" shapeId="0">
      <text>
        <t>Loan: CCG 6 Trucks 814-819
Formula: =MAX(0, MIN(Opening, Payment - Interest))
Ensures principal does not exceed opening balance</t>
      </text>
    </comment>
    <comment ref="F134" authorId="0" shapeId="0">
      <text>
        <t>Loan: CCG 6 Trucks 814-819
Formula: =MAX(0, Opening - Principal)
Prevents negative closing balance</t>
      </text>
    </comment>
    <comment ref="C135" authorId="0" shapeId="0">
      <text>
        <t>Loan: CCG 6 Trucks 814-819
Formula: Prior month closing balance</t>
      </text>
    </comment>
    <comment ref="D135" authorId="0" shapeId="0">
      <text>
        <t>Loan: CCG 6 Trucks 814-819
Formula: =MAX(0, Opening * AnnualRate / 12)
Prevents negative interest</t>
      </text>
    </comment>
    <comment ref="E135" authorId="0" shapeId="0">
      <text>
        <t>Loan: CCG 6 Trucks 814-819
Formula: =MAX(0, MIN(Opening, Payment - Interest))
Ensures principal does not exceed opening balance</t>
      </text>
    </comment>
    <comment ref="F135" authorId="0" shapeId="0">
      <text>
        <t>Loan: CCG 6 Trucks 814-819
Formula: =MAX(0, Opening - Principal)
Prevents negative closing balance</t>
      </text>
    </comment>
    <comment ref="C136" authorId="0" shapeId="0">
      <text>
        <t>Loan: CCG 6 Trucks 814-819
Formula: Prior month closing balance</t>
      </text>
    </comment>
    <comment ref="D136" authorId="0" shapeId="0">
      <text>
        <t>Loan: CCG 6 Trucks 814-819
Formula: =MAX(0, Opening * AnnualRate / 12)
Prevents negative interest</t>
      </text>
    </comment>
    <comment ref="E136" authorId="0" shapeId="0">
      <text>
        <t>Loan: CCG 6 Trucks 814-819
Formula: =MAX(0, MIN(Opening, Payment - Interest))
Ensures principal does not exceed opening balance</t>
      </text>
    </comment>
    <comment ref="F136" authorId="0" shapeId="0">
      <text>
        <t>Loan: CCG 6 Trucks 814-819
Formula: =MAX(0, Opening - Principal)
Prevents negative closing balance</t>
      </text>
    </comment>
    <comment ref="C137" authorId="0" shapeId="0">
      <text>
        <t>Loan: CCG 6 Trucks 814-819
Formula: Prior month closing balance</t>
      </text>
    </comment>
    <comment ref="D137" authorId="0" shapeId="0">
      <text>
        <t>Loan: CCG 6 Trucks 814-819
Formula: =MAX(0, Opening * AnnualRate / 12)
Prevents negative interest</t>
      </text>
    </comment>
    <comment ref="E137" authorId="0" shapeId="0">
      <text>
        <t>Loan: CCG 6 Trucks 814-819
Formula: =MAX(0, MIN(Opening, Payment - Interest))
Ensures principal does not exceed opening balance</t>
      </text>
    </comment>
    <comment ref="F137" authorId="0" shapeId="0">
      <text>
        <t>Loan: CCG 6 Trucks 814-819
Formula: =MAX(0, Opening - Principal)
Prevents negative closing balance</t>
      </text>
    </comment>
    <comment ref="C138" authorId="0" shapeId="0">
      <text>
        <t>Loan: CCG 6 Trucks 814-819
Formula: Prior month closing balance</t>
      </text>
    </comment>
    <comment ref="D138" authorId="0" shapeId="0">
      <text>
        <t>Loan: CCG 6 Trucks 814-819
Formula: =MAX(0, Opening * AnnualRate / 12)
Prevents negative interest</t>
      </text>
    </comment>
    <comment ref="E138" authorId="0" shapeId="0">
      <text>
        <t>Loan: CCG 6 Trucks 814-819
Formula: =MAX(0, MIN(Opening, Payment - Interest))
Ensures principal does not exceed opening balance</t>
      </text>
    </comment>
    <comment ref="F138" authorId="0" shapeId="0">
      <text>
        <t>Loan: CCG 6 Trucks 814-819
Formula: =MAX(0, Opening - Principal)
Prevents negative closing balance</t>
      </text>
    </comment>
    <comment ref="C139" authorId="0" shapeId="0">
      <text>
        <t>Loan: CCG 6 Trucks 814-819
Formula: Prior month closing balance</t>
      </text>
    </comment>
    <comment ref="D139" authorId="0" shapeId="0">
      <text>
        <t>Loan: CCG 6 Trucks 814-819
Formula: =MAX(0, Opening * AnnualRate / 12)
Prevents negative interest</t>
      </text>
    </comment>
    <comment ref="E139" authorId="0" shapeId="0">
      <text>
        <t>Loan: CCG 6 Trucks 814-819
Formula: =MAX(0, MIN(Opening, Payment - Interest))
Ensures principal does not exceed opening balance</t>
      </text>
    </comment>
    <comment ref="F139" authorId="0" shapeId="0">
      <text>
        <t>Loan: CCG 6 Trucks 814-819
Formula: =MAX(0, Opening - Principal)
Prevents negative closing balance</t>
      </text>
    </comment>
    <comment ref="C140" authorId="0" shapeId="0">
      <text>
        <t>Loan: CCG 6 Trucks 814-819
Formula: Prior month closing balance</t>
      </text>
    </comment>
    <comment ref="D140" authorId="0" shapeId="0">
      <text>
        <t>Loan: CCG 6 Trucks 814-819
Formula: =MAX(0, Opening * AnnualRate / 12)
Prevents negative interest</t>
      </text>
    </comment>
    <comment ref="E140" authorId="0" shapeId="0">
      <text>
        <t>Loan: CCG 6 Trucks 814-819
Formula: =MAX(0, MIN(Opening, Payment - Interest))
Ensures principal does not exceed opening balance</t>
      </text>
    </comment>
    <comment ref="F140" authorId="0" shapeId="0">
      <text>
        <t>Loan: CCG 6 Trucks 814-819
Formula: =MAX(0, Opening - Principal)
Prevents negative closing balance</t>
      </text>
    </comment>
    <comment ref="C141" authorId="0" shapeId="0">
      <text>
        <t>Loan: CCG 6 Trucks 814-819
Formula: Prior month closing balance</t>
      </text>
    </comment>
    <comment ref="D141" authorId="0" shapeId="0">
      <text>
        <t>Loan: CCG 6 Trucks 814-819
Formula: =MAX(0, Opening * AnnualRate / 12)
Prevents negative interest</t>
      </text>
    </comment>
    <comment ref="E141" authorId="0" shapeId="0">
      <text>
        <t>Loan: CCG 6 Trucks 814-819
Formula: =MAX(0, MIN(Opening, Payment - Interest))
Ensures principal does not exceed opening balance</t>
      </text>
    </comment>
    <comment ref="F141" authorId="0" shapeId="0">
      <text>
        <t>Loan: CCG 6 Trucks 814-819
Formula: =MAX(0, Opening - Principal)
Prevents negative closing balance</t>
      </text>
    </comment>
    <comment ref="C142" authorId="0" shapeId="0">
      <text>
        <t>Loan: CCG 6 Trucks 814-819
Formula: Prior month closing balance</t>
      </text>
    </comment>
    <comment ref="D142" authorId="0" shapeId="0">
      <text>
        <t>Loan: CCG 6 Trucks 814-819
Formula: =MAX(0, Opening * AnnualRate / 12)
Prevents negative interest</t>
      </text>
    </comment>
    <comment ref="E142" authorId="0" shapeId="0">
      <text>
        <t>Loan: CCG 6 Trucks 814-819
Formula: =MAX(0, MIN(Opening, Payment - Interest))
Ensures principal does not exceed opening balance</t>
      </text>
    </comment>
    <comment ref="F142" authorId="0" shapeId="0">
      <text>
        <t>Loan: CCG 6 Trucks 814-819
Formula: =MAX(0, Opening - Principal)
Prevents negative closing balance</t>
      </text>
    </comment>
    <comment ref="C143" authorId="0" shapeId="0">
      <text>
        <t>Loan: CCG 6 Trucks 814-819
Formula: Prior month closing balance</t>
      </text>
    </comment>
    <comment ref="D143" authorId="0" shapeId="0">
      <text>
        <t>Loan: CCG 6 Trucks 814-819
Formula: =MAX(0, Opening * AnnualRate / 12)
Prevents negative interest</t>
      </text>
    </comment>
    <comment ref="E143" authorId="0" shapeId="0">
      <text>
        <t>Loan: CCG 6 Trucks 814-819
Formula: =MAX(0, MIN(Opening, Payment - Interest))
Ensures principal does not exceed opening balance</t>
      </text>
    </comment>
    <comment ref="F143" authorId="0" shapeId="0">
      <text>
        <t>Loan: CCG 6 Trucks 814-819
Formula: =MAX(0, Opening - Principal)
Prevents negative closing balance</t>
      </text>
    </comment>
    <comment ref="C144" authorId="0" shapeId="0">
      <text>
        <t>Loan: CCG 6 Trucks 814-819
Formula: Prior month closing balance</t>
      </text>
    </comment>
    <comment ref="D144" authorId="0" shapeId="0">
      <text>
        <t>Loan: CCG 6 Trucks 814-819
Formula: =MAX(0, Opening * AnnualRate / 12)
Prevents negative interest</t>
      </text>
    </comment>
    <comment ref="E144" authorId="0" shapeId="0">
      <text>
        <t>Loan: CCG 6 Trucks 814-819
Formula: =MAX(0, MIN(Opening, Payment - Interest))
Ensures principal does not exceed opening balance</t>
      </text>
    </comment>
    <comment ref="F144" authorId="0" shapeId="0">
      <text>
        <t>Loan: CCG 6 Trucks 814-819
Formula: =MAX(0, Opening - Principal)
Prevents negative closing balance</t>
      </text>
    </comment>
    <comment ref="C145" authorId="0" shapeId="0">
      <text>
        <t>Loan: CCG 6 Trucks 814-819
Formula: Prior month closing balance</t>
      </text>
    </comment>
    <comment ref="D145" authorId="0" shapeId="0">
      <text>
        <t>Loan: CCG 6 Trucks 814-819
Formula: =MAX(0, Opening * AnnualRate / 12)
Prevents negative interest</t>
      </text>
    </comment>
    <comment ref="E145" authorId="0" shapeId="0">
      <text>
        <t>Loan: CCG 6 Trucks 814-819
Formula: =MAX(0, MIN(Opening, Payment - Interest))
Ensures principal does not exceed opening balance</t>
      </text>
    </comment>
    <comment ref="F145" authorId="0" shapeId="0">
      <text>
        <t>Loan: CCG 6 Trucks 814-819
Formula: =MAX(0, Opening - Principal)
Prevents negative closing balance</t>
      </text>
    </comment>
    <comment ref="C146" authorId="0" shapeId="0">
      <text>
        <t>Loan: CCG 6 Trucks 814-819
Formula: Prior month closing balance</t>
      </text>
    </comment>
    <comment ref="D146" authorId="0" shapeId="0">
      <text>
        <t>Loan: CCG 6 Trucks 814-819
Formula: =MAX(0, Opening * AnnualRate / 12)
Prevents negative interest</t>
      </text>
    </comment>
    <comment ref="E146" authorId="0" shapeId="0">
      <text>
        <t>Loan: CCG 6 Trucks 814-819
Formula: =MAX(0, MIN(Opening, Payment - Interest))
Ensures principal does not exceed opening balance</t>
      </text>
    </comment>
    <comment ref="F146" authorId="0" shapeId="0">
      <text>
        <t>Loan: CCG 6 Trucks 814-819
Formula: =MAX(0, Opening - Principal)
Prevents negative closing balance</t>
      </text>
    </comment>
    <comment ref="C147" authorId="0" shapeId="0">
      <text>
        <t>Loan: CCG 6 Trucks 814-819
Formula: Prior month closing balance</t>
      </text>
    </comment>
    <comment ref="D147" authorId="0" shapeId="0">
      <text>
        <t>Loan: CCG 6 Trucks 814-819
Formula: =MAX(0, Opening * AnnualRate / 12)
Prevents negative interest</t>
      </text>
    </comment>
    <comment ref="E147" authorId="0" shapeId="0">
      <text>
        <t>Loan: CCG 6 Trucks 814-819
Formula: =MAX(0, MIN(Opening, Payment - Interest))
Ensures principal does not exceed opening balance</t>
      </text>
    </comment>
    <comment ref="F147" authorId="0" shapeId="0">
      <text>
        <t>Loan: CCG 6 Trucks 814-819
Formula: =MAX(0, Opening - Principal)
Prevents negative closing balance</t>
      </text>
    </comment>
    <comment ref="C148" authorId="0" shapeId="0">
      <text>
        <t>Loan: CCG 6 Trucks 814-819
Formula: Prior month closing balance</t>
      </text>
    </comment>
    <comment ref="D148" authorId="0" shapeId="0">
      <text>
        <t>Loan: CCG 6 Trucks 814-819
Formula: =MAX(0, Opening * AnnualRate / 12)
Prevents negative interest</t>
      </text>
    </comment>
    <comment ref="E148" authorId="0" shapeId="0">
      <text>
        <t>Loan: CCG 6 Trucks 814-819
Formula: =MAX(0, MIN(Opening, Payment - Interest))
Ensures principal does not exceed opening balance</t>
      </text>
    </comment>
    <comment ref="F148" authorId="0" shapeId="0">
      <text>
        <t>Loan: CCG 6 Trucks 814-819
Formula: =MAX(0, Opening - Principal)
Prevents negative closing balance</t>
      </text>
    </comment>
    <comment ref="C149" authorId="0" shapeId="0">
      <text>
        <t>Loan: CCG 6 Trucks 814-819
Formula: Prior month closing balance</t>
      </text>
    </comment>
    <comment ref="D149" authorId="0" shapeId="0">
      <text>
        <t>Loan: CCG 6 Trucks 814-819
Formula: =MAX(0, Opening * AnnualRate / 12)
Prevents negative interest</t>
      </text>
    </comment>
    <comment ref="E149" authorId="0" shapeId="0">
      <text>
        <t>Loan: CCG 6 Trucks 814-819
Formula: =MAX(0, MIN(Opening, Payment - Interest))
Ensures principal does not exceed opening balance</t>
      </text>
    </comment>
    <comment ref="F149" authorId="0" shapeId="0">
      <text>
        <t>Loan: CCG 6 Trucks 814-819
Formula: =MAX(0, Opening - Principal)
Prevents negative closing balance</t>
      </text>
    </comment>
    <comment ref="C150" authorId="0" shapeId="0">
      <text>
        <t>Loan: CCG 6 Trucks 814-819
Formula: Prior month closing balance</t>
      </text>
    </comment>
    <comment ref="D150" authorId="0" shapeId="0">
      <text>
        <t>Loan: CCG 6 Trucks 814-819
Formula: =MAX(0, Opening * AnnualRate / 12)
Prevents negative interest</t>
      </text>
    </comment>
    <comment ref="E150" authorId="0" shapeId="0">
      <text>
        <t>Loan: CCG 6 Trucks 814-819
Formula: =MAX(0, MIN(Opening, Payment - Interest))
Ensures principal does not exceed opening balance</t>
      </text>
    </comment>
    <comment ref="F150" authorId="0" shapeId="0">
      <text>
        <t>Loan: CCG 6 Trucks 814-819
Formula: =MAX(0, Opening - Principal)
Prevents negative closing balance</t>
      </text>
    </comment>
    <comment ref="C151" authorId="0" shapeId="0">
      <text>
        <t>Loan: CCG 6 Trucks 814-819
Formula: Prior month closing balance</t>
      </text>
    </comment>
    <comment ref="D151" authorId="0" shapeId="0">
      <text>
        <t>Loan: CCG 6 Trucks 814-819
Formula: =MAX(0, Opening * AnnualRate / 12)
Prevents negative interest</t>
      </text>
    </comment>
    <comment ref="E151" authorId="0" shapeId="0">
      <text>
        <t>Loan: CCG 6 Trucks 814-819
Formula: =MAX(0, MIN(Opening, Payment - Interest))
Ensures principal does not exceed opening balance</t>
      </text>
    </comment>
    <comment ref="F151" authorId="0" shapeId="0">
      <text>
        <t>Loan: CCG 6 Trucks 814-819
Formula: =MAX(0, Opening - Principal)
Prevents negative closing balance</t>
      </text>
    </comment>
    <comment ref="C152" authorId="0" shapeId="0">
      <text>
        <t>Loan: CCG 6 Trucks 814-819
Formula: Prior month closing balance</t>
      </text>
    </comment>
    <comment ref="D152" authorId="0" shapeId="0">
      <text>
        <t>Loan: CCG 6 Trucks 814-819
Formula: =MAX(0, Opening * AnnualRate / 12)
Prevents negative interest</t>
      </text>
    </comment>
    <comment ref="E152" authorId="0" shapeId="0">
      <text>
        <t>Loan: CCG 6 Trucks 814-819
Formula: =MAX(0, MIN(Opening, Payment - Interest))
Ensures principal does not exceed opening balance</t>
      </text>
    </comment>
    <comment ref="F152" authorId="0" shapeId="0">
      <text>
        <t>Loan: CCG 6 Trucks 814-819
Formula: =MAX(0, Opening - Principal)
Prevents negative closing balance</t>
      </text>
    </comment>
    <comment ref="C153" authorId="0" shapeId="0">
      <text>
        <t>Loan: CCG 6 Trucks 814-819
Formula: Prior month closing balance</t>
      </text>
    </comment>
    <comment ref="D153" authorId="0" shapeId="0">
      <text>
        <t>Loan: CCG 6 Trucks 814-819
Formula: =MAX(0, Opening * AnnualRate / 12)
Prevents negative interest</t>
      </text>
    </comment>
    <comment ref="E153" authorId="0" shapeId="0">
      <text>
        <t>Loan: CCG 6 Trucks 814-819
Formula: =MAX(0, MIN(Opening, Payment - Interest))
Ensures principal does not exceed opening balance</t>
      </text>
    </comment>
    <comment ref="F153" authorId="0" shapeId="0">
      <text>
        <t>Loan: CCG 6 Trucks 814-819
Formula: =MAX(0, Opening - Principal)
Prevents negative closing balance</t>
      </text>
    </comment>
    <comment ref="C154" authorId="0" shapeId="0">
      <text>
        <t>Loan: CCG 6 Trucks 814-819
Formula: Prior month closing balance</t>
      </text>
    </comment>
    <comment ref="D154" authorId="0" shapeId="0">
      <text>
        <t>Loan: CCG 6 Trucks 814-819
Formula: =MAX(0, Opening * AnnualRate / 12)
Prevents negative interest</t>
      </text>
    </comment>
    <comment ref="E154" authorId="0" shapeId="0">
      <text>
        <t>Loan: CCG 6 Trucks 814-819
Formula: =MAX(0, MIN(Opening, Payment - Interest))
Ensures principal does not exceed opening balance</t>
      </text>
    </comment>
    <comment ref="F154" authorId="0" shapeId="0">
      <text>
        <t>Loan: CCG 6 Trucks 814-819
Formula: =MAX(0, Opening - Principal)
Prevents negative closing balance</t>
      </text>
    </comment>
    <comment ref="C155" authorId="0" shapeId="0">
      <text>
        <t>Loan: CCG 6 Trucks 814-819
Formula: Prior month closing balance</t>
      </text>
    </comment>
    <comment ref="D155" authorId="0" shapeId="0">
      <text>
        <t>Loan: CCG 6 Trucks 814-819
Formula: =MAX(0, Opening * AnnualRate / 12)
Prevents negative interest</t>
      </text>
    </comment>
    <comment ref="E155" authorId="0" shapeId="0">
      <text>
        <t>Loan: CCG 6 Trucks 814-819
Formula: =MAX(0, MIN(Opening, Payment - Interest))
Ensures principal does not exceed opening balance</t>
      </text>
    </comment>
    <comment ref="F155" authorId="0" shapeId="0">
      <text>
        <t>Loan: CCG 6 Trucks 814-819
Formula: =MAX(0, Opening - Principal)
Prevents negative closing balance</t>
      </text>
    </comment>
    <comment ref="C156" authorId="0" shapeId="0">
      <text>
        <t>Loan: CCG 6 Trucks 814-819
Formula: Prior month closing balance</t>
      </text>
    </comment>
    <comment ref="D156" authorId="0" shapeId="0">
      <text>
        <t>Loan: CCG 6 Trucks 814-819
Formula: =MAX(0, Opening * AnnualRate / 12)
Prevents negative interest</t>
      </text>
    </comment>
    <comment ref="E156" authorId="0" shapeId="0">
      <text>
        <t>Loan: CCG 6 Trucks 814-819
Formula: =MAX(0, MIN(Opening, Payment - Interest))
Ensures principal does not exceed opening balance</t>
      </text>
    </comment>
    <comment ref="F156" authorId="0" shapeId="0">
      <text>
        <t>Loan: CCG 6 Trucks 814-819
Formula: =MAX(0, Opening - Principal)
Prevents negative closing balance</t>
      </text>
    </comment>
    <comment ref="C157" authorId="0" shapeId="0">
      <text>
        <t>Loan: CCG 6 Trucks 814-819
Formula: Prior month closing balance</t>
      </text>
    </comment>
    <comment ref="D157" authorId="0" shapeId="0">
      <text>
        <t>Loan: CCG 6 Trucks 814-819
Formula: =MAX(0, Opening * AnnualRate / 12)
Prevents negative interest</t>
      </text>
    </comment>
    <comment ref="E157" authorId="0" shapeId="0">
      <text>
        <t>Loan: CCG 6 Trucks 814-819
Formula: =MAX(0, MIN(Opening, Payment - Interest))
Ensures principal does not exceed opening balance</t>
      </text>
    </comment>
    <comment ref="F157" authorId="0" shapeId="0">
      <text>
        <t>Loan: CCG 6 Trucks 814-819
Formula: =MAX(0, Opening - Principal)
Prevents negative closing balance</t>
      </text>
    </comment>
    <comment ref="C158" authorId="0" shapeId="0">
      <text>
        <t>Loan: CCG 6 Trucks 814-819
Formula: Prior month closing balance</t>
      </text>
    </comment>
    <comment ref="D158" authorId="0" shapeId="0">
      <text>
        <t>Loan: CCG 6 Trucks 814-819
Formula: =MAX(0, Opening * AnnualRate / 12)
Prevents negative interest</t>
      </text>
    </comment>
    <comment ref="E158" authorId="0" shapeId="0">
      <text>
        <t>Loan: CCG 6 Trucks 814-819
Formula: =MAX(0, MIN(Opening, Payment - Interest))
Ensures principal does not exceed opening balance</t>
      </text>
    </comment>
    <comment ref="F158" authorId="0" shapeId="0">
      <text>
        <t>Loan: CCG 6 Trucks 814-819
Formula: =MAX(0, Opening - Principal)
Prevents negative closing balance</t>
      </text>
    </comment>
    <comment ref="C159" authorId="0" shapeId="0">
      <text>
        <t>Loan: CCG 6 Trucks 814-819
Formula: Prior month closing balance</t>
      </text>
    </comment>
    <comment ref="D159" authorId="0" shapeId="0">
      <text>
        <t>Loan: CCG 6 Trucks 814-819
Formula: =MAX(0, Opening * AnnualRate / 12)
Prevents negative interest</t>
      </text>
    </comment>
    <comment ref="E159" authorId="0" shapeId="0">
      <text>
        <t>Loan: CCG 6 Trucks 814-819
Formula: =MAX(0, MIN(Opening, Payment - Interest))
Ensures principal does not exceed opening balance</t>
      </text>
    </comment>
    <comment ref="F159" authorId="0" shapeId="0">
      <text>
        <t>Loan: CCG 6 Trucks 814-819
Formula: =MAX(0, Opening - Principal)
Prevents negative closing balance</t>
      </text>
    </comment>
    <comment ref="C160" authorId="0" shapeId="0">
      <text>
        <t>Loan: CCG 6 Trucks 814-819
Formula: Prior month closing balance</t>
      </text>
    </comment>
    <comment ref="D160" authorId="0" shapeId="0">
      <text>
        <t>Loan: CCG 6 Trucks 814-819
Formula: =MAX(0, Opening * AnnualRate / 12)
Prevents negative interest</t>
      </text>
    </comment>
    <comment ref="E160" authorId="0" shapeId="0">
      <text>
        <t>Loan: CCG 6 Trucks 814-819
Formula: =MAX(0, MIN(Opening, Payment - Interest))
Ensures principal does not exceed opening balance</t>
      </text>
    </comment>
    <comment ref="F160" authorId="0" shapeId="0">
      <text>
        <t>Loan: CCG 6 Trucks 814-819
Formula: =MAX(0, Opening - Principal)
Prevents negative closing balance</t>
      </text>
    </comment>
    <comment ref="C161" authorId="0" shapeId="0">
      <text>
        <t>Loan: CCG 6 Trucks 814-819
Formula: Prior month closing balance</t>
      </text>
    </comment>
    <comment ref="D161" authorId="0" shapeId="0">
      <text>
        <t>Loan: CCG 6 Trucks 814-819
Formula: =MAX(0, Opening * AnnualRate / 12)
Prevents negative interest</t>
      </text>
    </comment>
    <comment ref="E161" authorId="0" shapeId="0">
      <text>
        <t>Loan: CCG 6 Trucks 814-819
Formula: =MAX(0, MIN(Opening, Payment - Interest))
Ensures principal does not exceed opening balance</t>
      </text>
    </comment>
    <comment ref="F161" authorId="0" shapeId="0">
      <text>
        <t>Loan: CCG 6 Trucks 814-819
Formula: =MAX(0, Opening - Principal)
Prevents negative closing balance</t>
      </text>
    </comment>
    <comment ref="D162" authorId="0" shapeId="0">
      <text>
        <t>Sum of rows 105-161: Total interest over loan life</t>
      </text>
    </comment>
    <comment ref="E162" authorId="0" shapeId="0">
      <text>
        <t>Sum of rows 105-161: Total principal over loan life</t>
      </text>
    </comment>
    <comment ref="B168" authorId="0" shapeId="0">
      <text>
        <t>Source: data/loans.md - CCG 6 Trucks 820-825
Original balance at origination</t>
      </text>
    </comment>
    <comment ref="B169" authorId="0" shapeId="0">
      <text>
        <t>Source: data/loans.md - CCG 6 Trucks 820-825
Balance as of Nov 30, 2025</t>
      </text>
    </comment>
    <comment ref="B170" authorId="0" shapeId="0">
      <text>
        <t>Source: data/loans.md - CCG 6 Trucks 820-825
Fixed rate: 10.50%</t>
      </text>
    </comment>
    <comment ref="B171" authorId="0" shapeId="0">
      <text>
        <t>Source: data/loans.md - CCG 6 Trucks 820-825
Fixed monthly P&amp;I payment</t>
      </text>
    </comment>
    <comment ref="C179" authorId="0" shapeId="0">
      <text>
        <t>Loan: CCG 6 Trucks 820-825
Source: data/loans.md
Opening balance from Nov 2025 remaining balance</t>
      </text>
    </comment>
    <comment ref="D179" authorId="0" shapeId="0">
      <text>
        <t>Loan: CCG 6 Trucks 820-825
Formula: =MAX(0, Opening * AnnualRate / 12)
Prevents negative interest</t>
      </text>
    </comment>
    <comment ref="E179" authorId="0" shapeId="0">
      <text>
        <t>Loan: CCG 6 Trucks 820-825
Formula: =MAX(0, MIN(Opening, Payment - Interest))
Ensures principal does not exceed opening balance</t>
      </text>
    </comment>
    <comment ref="F179" authorId="0" shapeId="0">
      <text>
        <t>Loan: CCG 6 Trucks 820-825
Formula: =MAX(0, Opening - Principal)
Prevents negative closing balance</t>
      </text>
    </comment>
    <comment ref="C180" authorId="0" shapeId="0">
      <text>
        <t>Loan: CCG 6 Trucks 820-825
Formula: Prior month closing balance</t>
      </text>
    </comment>
    <comment ref="D180" authorId="0" shapeId="0">
      <text>
        <t>Loan: CCG 6 Trucks 820-825
Formula: =MAX(0, Opening * AnnualRate / 12)
Prevents negative interest</t>
      </text>
    </comment>
    <comment ref="E180" authorId="0" shapeId="0">
      <text>
        <t>Loan: CCG 6 Trucks 820-825
Formula: =MAX(0, MIN(Opening, Payment - Interest))
Ensures principal does not exceed opening balance</t>
      </text>
    </comment>
    <comment ref="F180" authorId="0" shapeId="0">
      <text>
        <t>Loan: CCG 6 Trucks 820-825
Formula: =MAX(0, Opening - Principal)
Prevents negative closing balance</t>
      </text>
    </comment>
    <comment ref="C181" authorId="0" shapeId="0">
      <text>
        <t>Loan: CCG 6 Trucks 820-825
Formula: Prior month closing balance</t>
      </text>
    </comment>
    <comment ref="D181" authorId="0" shapeId="0">
      <text>
        <t>Loan: CCG 6 Trucks 820-825
Formula: =MAX(0, Opening * AnnualRate / 12)
Prevents negative interest</t>
      </text>
    </comment>
    <comment ref="E181" authorId="0" shapeId="0">
      <text>
        <t>Loan: CCG 6 Trucks 820-825
Formula: =MAX(0, MIN(Opening, Payment - Interest))
Ensures principal does not exceed opening balance</t>
      </text>
    </comment>
    <comment ref="F181" authorId="0" shapeId="0">
      <text>
        <t>Loan: CCG 6 Trucks 820-825
Formula: =MAX(0, Opening - Principal)
Prevents negative closing balance</t>
      </text>
    </comment>
    <comment ref="C182" authorId="0" shapeId="0">
      <text>
        <t>Loan: CCG 6 Trucks 820-825
Formula: Prior month closing balance</t>
      </text>
    </comment>
    <comment ref="D182" authorId="0" shapeId="0">
      <text>
        <t>Loan: CCG 6 Trucks 820-825
Formula: =MAX(0, Opening * AnnualRate / 12)
Prevents negative interest</t>
      </text>
    </comment>
    <comment ref="E182" authorId="0" shapeId="0">
      <text>
        <t>Loan: CCG 6 Trucks 820-825
Formula: =MAX(0, MIN(Opening, Payment - Interest))
Ensures principal does not exceed opening balance</t>
      </text>
    </comment>
    <comment ref="F182" authorId="0" shapeId="0">
      <text>
        <t>Loan: CCG 6 Trucks 820-825
Formula: =MAX(0, Opening - Principal)
Prevents negative closing balance</t>
      </text>
    </comment>
    <comment ref="C183" authorId="0" shapeId="0">
      <text>
        <t>Loan: CCG 6 Trucks 820-825
Formula: Prior month closing balance</t>
      </text>
    </comment>
    <comment ref="D183" authorId="0" shapeId="0">
      <text>
        <t>Loan: CCG 6 Trucks 820-825
Formula: =MAX(0, Opening * AnnualRate / 12)
Prevents negative interest</t>
      </text>
    </comment>
    <comment ref="E183" authorId="0" shapeId="0">
      <text>
        <t>Loan: CCG 6 Trucks 820-825
Formula: =MAX(0, MIN(Opening, Payment - Interest))
Ensures principal does not exceed opening balance</t>
      </text>
    </comment>
    <comment ref="F183" authorId="0" shapeId="0">
      <text>
        <t>Loan: CCG 6 Trucks 820-825
Formula: =MAX(0, Opening - Principal)
Prevents negative closing balance</t>
      </text>
    </comment>
    <comment ref="C184" authorId="0" shapeId="0">
      <text>
        <t>Loan: CCG 6 Trucks 820-825
Formula: Prior month closing balance</t>
      </text>
    </comment>
    <comment ref="D184" authorId="0" shapeId="0">
      <text>
        <t>Loan: CCG 6 Trucks 820-825
Formula: =MAX(0, Opening * AnnualRate / 12)
Prevents negative interest</t>
      </text>
    </comment>
    <comment ref="E184" authorId="0" shapeId="0">
      <text>
        <t>Loan: CCG 6 Trucks 820-825
Formula: =MAX(0, MIN(Opening, Payment - Interest))
Ensures principal does not exceed opening balance</t>
      </text>
    </comment>
    <comment ref="F184" authorId="0" shapeId="0">
      <text>
        <t>Loan: CCG 6 Trucks 820-825
Formula: =MAX(0, Opening - Principal)
Prevents negative closing balance</t>
      </text>
    </comment>
    <comment ref="C185" authorId="0" shapeId="0">
      <text>
        <t>Loan: CCG 6 Trucks 820-825
Formula: Prior month closing balance</t>
      </text>
    </comment>
    <comment ref="D185" authorId="0" shapeId="0">
      <text>
        <t>Loan: CCG 6 Trucks 820-825
Formula: =MAX(0, Opening * AnnualRate / 12)
Prevents negative interest</t>
      </text>
    </comment>
    <comment ref="E185" authorId="0" shapeId="0">
      <text>
        <t>Loan: CCG 6 Trucks 820-825
Formula: =MAX(0, MIN(Opening, Payment - Interest))
Ensures principal does not exceed opening balance</t>
      </text>
    </comment>
    <comment ref="F185" authorId="0" shapeId="0">
      <text>
        <t>Loan: CCG 6 Trucks 820-825
Formula: =MAX(0, Opening - Principal)
Prevents negative closing balance</t>
      </text>
    </comment>
    <comment ref="C186" authorId="0" shapeId="0">
      <text>
        <t>Loan: CCG 6 Trucks 820-825
Formula: Prior month closing balance</t>
      </text>
    </comment>
    <comment ref="D186" authorId="0" shapeId="0">
      <text>
        <t>Loan: CCG 6 Trucks 820-825
Formula: =MAX(0, Opening * AnnualRate / 12)
Prevents negative interest</t>
      </text>
    </comment>
    <comment ref="E186" authorId="0" shapeId="0">
      <text>
        <t>Loan: CCG 6 Trucks 820-825
Formula: =MAX(0, MIN(Opening, Payment - Interest))
Ensures principal does not exceed opening balance</t>
      </text>
    </comment>
    <comment ref="F186" authorId="0" shapeId="0">
      <text>
        <t>Loan: CCG 6 Trucks 820-825
Formula: =MAX(0, Opening - Principal)
Prevents negative closing balance</t>
      </text>
    </comment>
    <comment ref="C187" authorId="0" shapeId="0">
      <text>
        <t>Loan: CCG 6 Trucks 820-825
Formula: Prior month closing balance</t>
      </text>
    </comment>
    <comment ref="D187" authorId="0" shapeId="0">
      <text>
        <t>Loan: CCG 6 Trucks 820-825
Formula: =MAX(0, Opening * AnnualRate / 12)
Prevents negative interest</t>
      </text>
    </comment>
    <comment ref="E187" authorId="0" shapeId="0">
      <text>
        <t>Loan: CCG 6 Trucks 820-825
Formula: =MAX(0, MIN(Opening, Payment - Interest))
Ensures principal does not exceed opening balance</t>
      </text>
    </comment>
    <comment ref="F187" authorId="0" shapeId="0">
      <text>
        <t>Loan: CCG 6 Trucks 820-825
Formula: =MAX(0, Opening - Principal)
Prevents negative closing balance</t>
      </text>
    </comment>
    <comment ref="C188" authorId="0" shapeId="0">
      <text>
        <t>Loan: CCG 6 Trucks 820-825
Formula: Prior month closing balance</t>
      </text>
    </comment>
    <comment ref="D188" authorId="0" shapeId="0">
      <text>
        <t>Loan: CCG 6 Trucks 820-825
Formula: =MAX(0, Opening * AnnualRate / 12)
Prevents negative interest</t>
      </text>
    </comment>
    <comment ref="E188" authorId="0" shapeId="0">
      <text>
        <t>Loan: CCG 6 Trucks 820-825
Formula: =MAX(0, MIN(Opening, Payment - Interest))
Ensures principal does not exceed opening balance</t>
      </text>
    </comment>
    <comment ref="F188" authorId="0" shapeId="0">
      <text>
        <t>Loan: CCG 6 Trucks 820-825
Formula: =MAX(0, Opening - Principal)
Prevents negative closing balance</t>
      </text>
    </comment>
    <comment ref="C189" authorId="0" shapeId="0">
      <text>
        <t>Loan: CCG 6 Trucks 820-825
Formula: Prior month closing balance</t>
      </text>
    </comment>
    <comment ref="D189" authorId="0" shapeId="0">
      <text>
        <t>Loan: CCG 6 Trucks 820-825
Formula: =MAX(0, Opening * AnnualRate / 12)
Prevents negative interest</t>
      </text>
    </comment>
    <comment ref="E189" authorId="0" shapeId="0">
      <text>
        <t>Loan: CCG 6 Trucks 820-825
Formula: =MAX(0, MIN(Opening, Payment - Interest))
Ensures principal does not exceed opening balance</t>
      </text>
    </comment>
    <comment ref="F189" authorId="0" shapeId="0">
      <text>
        <t>Loan: CCG 6 Trucks 820-825
Formula: =MAX(0, Opening - Principal)
Prevents negative closing balance</t>
      </text>
    </comment>
    <comment ref="C190" authorId="0" shapeId="0">
      <text>
        <t>Loan: CCG 6 Trucks 820-825
Formula: Prior month closing balance</t>
      </text>
    </comment>
    <comment ref="D190" authorId="0" shapeId="0">
      <text>
        <t>Loan: CCG 6 Trucks 820-825
Formula: =MAX(0, Opening * AnnualRate / 12)
Prevents negative interest</t>
      </text>
    </comment>
    <comment ref="E190" authorId="0" shapeId="0">
      <text>
        <t>Loan: CCG 6 Trucks 820-825
Formula: =MAX(0, MIN(Opening, Payment - Interest))
Ensures principal does not exceed opening balance</t>
      </text>
    </comment>
    <comment ref="F190" authorId="0" shapeId="0">
      <text>
        <t>Loan: CCG 6 Trucks 820-825
Formula: =MAX(0, Opening - Principal)
Prevents negative closing balance</t>
      </text>
    </comment>
    <comment ref="C191" authorId="0" shapeId="0">
      <text>
        <t>Loan: CCG 6 Trucks 820-825
Formula: Prior month closing balance</t>
      </text>
    </comment>
    <comment ref="D191" authorId="0" shapeId="0">
      <text>
        <t>Loan: CCG 6 Trucks 820-825
Formula: =MAX(0, Opening * AnnualRate / 12)
Prevents negative interest</t>
      </text>
    </comment>
    <comment ref="E191" authorId="0" shapeId="0">
      <text>
        <t>Loan: CCG 6 Trucks 820-825
Formula: =MAX(0, MIN(Opening, Payment - Interest))
Ensures principal does not exceed opening balance</t>
      </text>
    </comment>
    <comment ref="F191" authorId="0" shapeId="0">
      <text>
        <t>Loan: CCG 6 Trucks 820-825
Formula: =MAX(0, Opening - Principal)
Prevents negative closing balance</t>
      </text>
    </comment>
    <comment ref="C192" authorId="0" shapeId="0">
      <text>
        <t>Loan: CCG 6 Trucks 820-825
Formula: Prior month closing balance</t>
      </text>
    </comment>
    <comment ref="D192" authorId="0" shapeId="0">
      <text>
        <t>Loan: CCG 6 Trucks 820-825
Formula: =MAX(0, Opening * AnnualRate / 12)
Prevents negative interest</t>
      </text>
    </comment>
    <comment ref="E192" authorId="0" shapeId="0">
      <text>
        <t>Loan: CCG 6 Trucks 820-825
Formula: =MAX(0, MIN(Opening, Payment - Interest))
Ensures principal does not exceed opening balance</t>
      </text>
    </comment>
    <comment ref="F192" authorId="0" shapeId="0">
      <text>
        <t>Loan: CCG 6 Trucks 820-825
Formula: =MAX(0, Opening - Principal)
Prevents negative closing balance</t>
      </text>
    </comment>
    <comment ref="C193" authorId="0" shapeId="0">
      <text>
        <t>Loan: CCG 6 Trucks 820-825
Formula: Prior month closing balance</t>
      </text>
    </comment>
    <comment ref="D193" authorId="0" shapeId="0">
      <text>
        <t>Loan: CCG 6 Trucks 820-825
Formula: =MAX(0, Opening * AnnualRate / 12)
Prevents negative interest</t>
      </text>
    </comment>
    <comment ref="E193" authorId="0" shapeId="0">
      <text>
        <t>Loan: CCG 6 Trucks 820-825
Formula: =MAX(0, MIN(Opening, Payment - Interest))
Ensures principal does not exceed opening balance</t>
      </text>
    </comment>
    <comment ref="F193" authorId="0" shapeId="0">
      <text>
        <t>Loan: CCG 6 Trucks 820-825
Formula: =MAX(0, Opening - Principal)
Prevents negative closing balance</t>
      </text>
    </comment>
    <comment ref="C194" authorId="0" shapeId="0">
      <text>
        <t>Loan: CCG 6 Trucks 820-825
Formula: Prior month closing balance</t>
      </text>
    </comment>
    <comment ref="D194" authorId="0" shapeId="0">
      <text>
        <t>Loan: CCG 6 Trucks 820-825
Formula: =MAX(0, Opening * AnnualRate / 12)
Prevents negative interest</t>
      </text>
    </comment>
    <comment ref="E194" authorId="0" shapeId="0">
      <text>
        <t>Loan: CCG 6 Trucks 820-825
Formula: =MAX(0, MIN(Opening, Payment - Interest))
Ensures principal does not exceed opening balance</t>
      </text>
    </comment>
    <comment ref="F194" authorId="0" shapeId="0">
      <text>
        <t>Loan: CCG 6 Trucks 820-825
Formula: =MAX(0, Opening - Principal)
Prevents negative closing balance</t>
      </text>
    </comment>
    <comment ref="C195" authorId="0" shapeId="0">
      <text>
        <t>Loan: CCG 6 Trucks 820-825
Formula: Prior month closing balance</t>
      </text>
    </comment>
    <comment ref="D195" authorId="0" shapeId="0">
      <text>
        <t>Loan: CCG 6 Trucks 820-825
Formula: =MAX(0, Opening * AnnualRate / 12)
Prevents negative interest</t>
      </text>
    </comment>
    <comment ref="E195" authorId="0" shapeId="0">
      <text>
        <t>Loan: CCG 6 Trucks 820-825
Formula: =MAX(0, MIN(Opening, Payment - Interest))
Ensures principal does not exceed opening balance</t>
      </text>
    </comment>
    <comment ref="F195" authorId="0" shapeId="0">
      <text>
        <t>Loan: CCG 6 Trucks 820-825
Formula: =MAX(0, Opening - Principal)
Prevents negative closing balance</t>
      </text>
    </comment>
    <comment ref="C196" authorId="0" shapeId="0">
      <text>
        <t>Loan: CCG 6 Trucks 820-825
Formula: Prior month closing balance</t>
      </text>
    </comment>
    <comment ref="D196" authorId="0" shapeId="0">
      <text>
        <t>Loan: CCG 6 Trucks 820-825
Formula: =MAX(0, Opening * AnnualRate / 12)
Prevents negative interest</t>
      </text>
    </comment>
    <comment ref="E196" authorId="0" shapeId="0">
      <text>
        <t>Loan: CCG 6 Trucks 820-825
Formula: =MAX(0, MIN(Opening, Payment - Interest))
Ensures principal does not exceed opening balance</t>
      </text>
    </comment>
    <comment ref="F196" authorId="0" shapeId="0">
      <text>
        <t>Loan: CCG 6 Trucks 820-825
Formula: =MAX(0, Opening - Principal)
Prevents negative closing balance</t>
      </text>
    </comment>
    <comment ref="C197" authorId="0" shapeId="0">
      <text>
        <t>Loan: CCG 6 Trucks 820-825
Formula: Prior month closing balance</t>
      </text>
    </comment>
    <comment ref="D197" authorId="0" shapeId="0">
      <text>
        <t>Loan: CCG 6 Trucks 820-825
Formula: =MAX(0, Opening * AnnualRate / 12)
Prevents negative interest</t>
      </text>
    </comment>
    <comment ref="E197" authorId="0" shapeId="0">
      <text>
        <t>Loan: CCG 6 Trucks 820-825
Formula: =MAX(0, MIN(Opening, Payment - Interest))
Ensures principal does not exceed opening balance</t>
      </text>
    </comment>
    <comment ref="F197" authorId="0" shapeId="0">
      <text>
        <t>Loan: CCG 6 Trucks 820-825
Formula: =MAX(0, Opening - Principal)
Prevents negative closing balance</t>
      </text>
    </comment>
    <comment ref="C198" authorId="0" shapeId="0">
      <text>
        <t>Loan: CCG 6 Trucks 820-825
Formula: Prior month closing balance</t>
      </text>
    </comment>
    <comment ref="D198" authorId="0" shapeId="0">
      <text>
        <t>Loan: CCG 6 Trucks 820-825
Formula: =MAX(0, Opening * AnnualRate / 12)
Prevents negative interest</t>
      </text>
    </comment>
    <comment ref="E198" authorId="0" shapeId="0">
      <text>
        <t>Loan: CCG 6 Trucks 820-825
Formula: =MAX(0, MIN(Opening, Payment - Interest))
Ensures principal does not exceed opening balance</t>
      </text>
    </comment>
    <comment ref="F198" authorId="0" shapeId="0">
      <text>
        <t>Loan: CCG 6 Trucks 820-825
Formula: =MAX(0, Opening - Principal)
Prevents negative closing balance</t>
      </text>
    </comment>
    <comment ref="C199" authorId="0" shapeId="0">
      <text>
        <t>Loan: CCG 6 Trucks 820-825
Formula: Prior month closing balance</t>
      </text>
    </comment>
    <comment ref="D199" authorId="0" shapeId="0">
      <text>
        <t>Loan: CCG 6 Trucks 820-825
Formula: =MAX(0, Opening * AnnualRate / 12)
Prevents negative interest</t>
      </text>
    </comment>
    <comment ref="E199" authorId="0" shapeId="0">
      <text>
        <t>Loan: CCG 6 Trucks 820-825
Formula: =MAX(0, MIN(Opening, Payment - Interest))
Ensures principal does not exceed opening balance</t>
      </text>
    </comment>
    <comment ref="F199" authorId="0" shapeId="0">
      <text>
        <t>Loan: CCG 6 Trucks 820-825
Formula: =MAX(0, Opening - Principal)
Prevents negative closing balance</t>
      </text>
    </comment>
    <comment ref="C200" authorId="0" shapeId="0">
      <text>
        <t>Loan: CCG 6 Trucks 820-825
Formula: Prior month closing balance</t>
      </text>
    </comment>
    <comment ref="D200" authorId="0" shapeId="0">
      <text>
        <t>Loan: CCG 6 Trucks 820-825
Formula: =MAX(0, Opening * AnnualRate / 12)
Prevents negative interest</t>
      </text>
    </comment>
    <comment ref="E200" authorId="0" shapeId="0">
      <text>
        <t>Loan: CCG 6 Trucks 820-825
Formula: =MAX(0, MIN(Opening, Payment - Interest))
Ensures principal does not exceed opening balance</t>
      </text>
    </comment>
    <comment ref="F200" authorId="0" shapeId="0">
      <text>
        <t>Loan: CCG 6 Trucks 820-825
Formula: =MAX(0, Opening - Principal)
Prevents negative closing balance</t>
      </text>
    </comment>
    <comment ref="C201" authorId="0" shapeId="0">
      <text>
        <t>Loan: CCG 6 Trucks 820-825
Formula: Prior month closing balance</t>
      </text>
    </comment>
    <comment ref="D201" authorId="0" shapeId="0">
      <text>
        <t>Loan: CCG 6 Trucks 820-825
Formula: =MAX(0, Opening * AnnualRate / 12)
Prevents negative interest</t>
      </text>
    </comment>
    <comment ref="E201" authorId="0" shapeId="0">
      <text>
        <t>Loan: CCG 6 Trucks 820-825
Formula: =MAX(0, MIN(Opening, Payment - Interest))
Ensures principal does not exceed opening balance</t>
      </text>
    </comment>
    <comment ref="F201" authorId="0" shapeId="0">
      <text>
        <t>Loan: CCG 6 Trucks 820-825
Formula: =MAX(0, Opening - Principal)
Prevents negative closing balance</t>
      </text>
    </comment>
    <comment ref="C202" authorId="0" shapeId="0">
      <text>
        <t>Loan: CCG 6 Trucks 820-825
Formula: Prior month closing balance</t>
      </text>
    </comment>
    <comment ref="D202" authorId="0" shapeId="0">
      <text>
        <t>Loan: CCG 6 Trucks 820-825
Formula: =MAX(0, Opening * AnnualRate / 12)
Prevents negative interest</t>
      </text>
    </comment>
    <comment ref="E202" authorId="0" shapeId="0">
      <text>
        <t>Loan: CCG 6 Trucks 820-825
Formula: =MAX(0, MIN(Opening, Payment - Interest))
Ensures principal does not exceed opening balance</t>
      </text>
    </comment>
    <comment ref="F202" authorId="0" shapeId="0">
      <text>
        <t>Loan: CCG 6 Trucks 820-825
Formula: =MAX(0, Opening - Principal)
Prevents negative closing balance</t>
      </text>
    </comment>
    <comment ref="C203" authorId="0" shapeId="0">
      <text>
        <t>Loan: CCG 6 Trucks 820-825
Formula: Prior month closing balance</t>
      </text>
    </comment>
    <comment ref="D203" authorId="0" shapeId="0">
      <text>
        <t>Loan: CCG 6 Trucks 820-825
Formula: =MAX(0, Opening * AnnualRate / 12)
Prevents negative interest</t>
      </text>
    </comment>
    <comment ref="E203" authorId="0" shapeId="0">
      <text>
        <t>Loan: CCG 6 Trucks 820-825
Formula: =MAX(0, MIN(Opening, Payment - Interest))
Ensures principal does not exceed opening balance</t>
      </text>
    </comment>
    <comment ref="F203" authorId="0" shapeId="0">
      <text>
        <t>Loan: CCG 6 Trucks 820-825
Formula: =MAX(0, Opening - Principal)
Prevents negative closing balance</t>
      </text>
    </comment>
    <comment ref="C204" authorId="0" shapeId="0">
      <text>
        <t>Loan: CCG 6 Trucks 820-825
Formula: Prior month closing balance</t>
      </text>
    </comment>
    <comment ref="D204" authorId="0" shapeId="0">
      <text>
        <t>Loan: CCG 6 Trucks 820-825
Formula: =MAX(0, Opening * AnnualRate / 12)
Prevents negative interest</t>
      </text>
    </comment>
    <comment ref="E204" authorId="0" shapeId="0">
      <text>
        <t>Loan: CCG 6 Trucks 820-825
Formula: =MAX(0, MIN(Opening, Payment - Interest))
Ensures principal does not exceed opening balance</t>
      </text>
    </comment>
    <comment ref="F204" authorId="0" shapeId="0">
      <text>
        <t>Loan: CCG 6 Trucks 820-825
Formula: =MAX(0, Opening - Principal)
Prevents negative closing balance</t>
      </text>
    </comment>
    <comment ref="C205" authorId="0" shapeId="0">
      <text>
        <t>Loan: CCG 6 Trucks 820-825
Formula: Prior month closing balance</t>
      </text>
    </comment>
    <comment ref="D205" authorId="0" shapeId="0">
      <text>
        <t>Loan: CCG 6 Trucks 820-825
Formula: =MAX(0, Opening * AnnualRate / 12)
Prevents negative interest</t>
      </text>
    </comment>
    <comment ref="E205" authorId="0" shapeId="0">
      <text>
        <t>Loan: CCG 6 Trucks 820-825
Formula: =MAX(0, MIN(Opening, Payment - Interest))
Ensures principal does not exceed opening balance</t>
      </text>
    </comment>
    <comment ref="F205" authorId="0" shapeId="0">
      <text>
        <t>Loan: CCG 6 Trucks 820-825
Formula: =MAX(0, Opening - Principal)
Prevents negative closing balance</t>
      </text>
    </comment>
    <comment ref="C206" authorId="0" shapeId="0">
      <text>
        <t>Loan: CCG 6 Trucks 820-825
Formula: Prior month closing balance</t>
      </text>
    </comment>
    <comment ref="D206" authorId="0" shapeId="0">
      <text>
        <t>Loan: CCG 6 Trucks 820-825
Formula: =MAX(0, Opening * AnnualRate / 12)
Prevents negative interest</t>
      </text>
    </comment>
    <comment ref="E206" authorId="0" shapeId="0">
      <text>
        <t>Loan: CCG 6 Trucks 820-825
Formula: =MAX(0, MIN(Opening, Payment - Interest))
Ensures principal does not exceed opening balance</t>
      </text>
    </comment>
    <comment ref="F206" authorId="0" shapeId="0">
      <text>
        <t>Loan: CCG 6 Trucks 820-825
Formula: =MAX(0, Opening - Principal)
Prevents negative closing balance</t>
      </text>
    </comment>
    <comment ref="C207" authorId="0" shapeId="0">
      <text>
        <t>Loan: CCG 6 Trucks 820-825
Formula: Prior month closing balance</t>
      </text>
    </comment>
    <comment ref="D207" authorId="0" shapeId="0">
      <text>
        <t>Loan: CCG 6 Trucks 820-825
Formula: =MAX(0, Opening * AnnualRate / 12)
Prevents negative interest</t>
      </text>
    </comment>
    <comment ref="E207" authorId="0" shapeId="0">
      <text>
        <t>Loan: CCG 6 Trucks 820-825
Formula: =MAX(0, MIN(Opening, Payment - Interest))
Ensures principal does not exceed opening balance</t>
      </text>
    </comment>
    <comment ref="F207" authorId="0" shapeId="0">
      <text>
        <t>Loan: CCG 6 Trucks 820-825
Formula: =MAX(0, Opening - Principal)
Prevents negative closing balance</t>
      </text>
    </comment>
    <comment ref="C208" authorId="0" shapeId="0">
      <text>
        <t>Loan: CCG 6 Trucks 820-825
Formula: Prior month closing balance</t>
      </text>
    </comment>
    <comment ref="D208" authorId="0" shapeId="0">
      <text>
        <t>Loan: CCG 6 Trucks 820-825
Formula: =MAX(0, Opening * AnnualRate / 12)
Prevents negative interest</t>
      </text>
    </comment>
    <comment ref="E208" authorId="0" shapeId="0">
      <text>
        <t>Loan: CCG 6 Trucks 820-825
Formula: =MAX(0, MIN(Opening, Payment - Interest))
Ensures principal does not exceed opening balance</t>
      </text>
    </comment>
    <comment ref="F208" authorId="0" shapeId="0">
      <text>
        <t>Loan: CCG 6 Trucks 820-825
Formula: =MAX(0, Opening - Principal)
Prevents negative closing balance</t>
      </text>
    </comment>
    <comment ref="C209" authorId="0" shapeId="0">
      <text>
        <t>Loan: CCG 6 Trucks 820-825
Formula: Prior month closing balance</t>
      </text>
    </comment>
    <comment ref="D209" authorId="0" shapeId="0">
      <text>
        <t>Loan: CCG 6 Trucks 820-825
Formula: =MAX(0, Opening * AnnualRate / 12)
Prevents negative interest</t>
      </text>
    </comment>
    <comment ref="E209" authorId="0" shapeId="0">
      <text>
        <t>Loan: CCG 6 Trucks 820-825
Formula: =MAX(0, MIN(Opening, Payment - Interest))
Ensures principal does not exceed opening balance</t>
      </text>
    </comment>
    <comment ref="F209" authorId="0" shapeId="0">
      <text>
        <t>Loan: CCG 6 Trucks 820-825
Formula: =MAX(0, Opening - Principal)
Prevents negative closing balance</t>
      </text>
    </comment>
    <comment ref="C210" authorId="0" shapeId="0">
      <text>
        <t>Loan: CCG 6 Trucks 820-825
Formula: Prior month closing balance</t>
      </text>
    </comment>
    <comment ref="D210" authorId="0" shapeId="0">
      <text>
        <t>Loan: CCG 6 Trucks 820-825
Formula: =MAX(0, Opening * AnnualRate / 12)
Prevents negative interest</t>
      </text>
    </comment>
    <comment ref="E210" authorId="0" shapeId="0">
      <text>
        <t>Loan: CCG 6 Trucks 820-825
Formula: =MAX(0, MIN(Opening, Payment - Interest))
Ensures principal does not exceed opening balance</t>
      </text>
    </comment>
    <comment ref="F210" authorId="0" shapeId="0">
      <text>
        <t>Loan: CCG 6 Trucks 820-825
Formula: =MAX(0, Opening - Principal)
Prevents negative closing balance</t>
      </text>
    </comment>
    <comment ref="C211" authorId="0" shapeId="0">
      <text>
        <t>Loan: CCG 6 Trucks 820-825
Formula: Prior month closing balance</t>
      </text>
    </comment>
    <comment ref="D211" authorId="0" shapeId="0">
      <text>
        <t>Loan: CCG 6 Trucks 820-825
Formula: =MAX(0, Opening * AnnualRate / 12)
Prevents negative interest</t>
      </text>
    </comment>
    <comment ref="E211" authorId="0" shapeId="0">
      <text>
        <t>Loan: CCG 6 Trucks 820-825
Formula: =MAX(0, MIN(Opening, Payment - Interest))
Ensures principal does not exceed opening balance</t>
      </text>
    </comment>
    <comment ref="F211" authorId="0" shapeId="0">
      <text>
        <t>Loan: CCG 6 Trucks 820-825
Formula: =MAX(0, Opening - Principal)
Prevents negative closing balance</t>
      </text>
    </comment>
    <comment ref="C212" authorId="0" shapeId="0">
      <text>
        <t>Loan: CCG 6 Trucks 820-825
Formula: Prior month closing balance</t>
      </text>
    </comment>
    <comment ref="D212" authorId="0" shapeId="0">
      <text>
        <t>Loan: CCG 6 Trucks 820-825
Formula: =MAX(0, Opening * AnnualRate / 12)
Prevents negative interest</t>
      </text>
    </comment>
    <comment ref="E212" authorId="0" shapeId="0">
      <text>
        <t>Loan: CCG 6 Trucks 820-825
Formula: =MAX(0, MIN(Opening, Payment - Interest))
Ensures principal does not exceed opening balance</t>
      </text>
    </comment>
    <comment ref="F212" authorId="0" shapeId="0">
      <text>
        <t>Loan: CCG 6 Trucks 820-825
Formula: =MAX(0, Opening - Principal)
Prevents negative closing balance</t>
      </text>
    </comment>
    <comment ref="C213" authorId="0" shapeId="0">
      <text>
        <t>Loan: CCG 6 Trucks 820-825
Formula: Prior month closing balance</t>
      </text>
    </comment>
    <comment ref="D213" authorId="0" shapeId="0">
      <text>
        <t>Loan: CCG 6 Trucks 820-825
Formula: =MAX(0, Opening * AnnualRate / 12)
Prevents negative interest</t>
      </text>
    </comment>
    <comment ref="E213" authorId="0" shapeId="0">
      <text>
        <t>Loan: CCG 6 Trucks 820-825
Formula: =MAX(0, MIN(Opening, Payment - Interest))
Ensures principal does not exceed opening balance</t>
      </text>
    </comment>
    <comment ref="F213" authorId="0" shapeId="0">
      <text>
        <t>Loan: CCG 6 Trucks 820-825
Formula: =MAX(0, Opening - Principal)
Prevents negative closing balance</t>
      </text>
    </comment>
    <comment ref="C214" authorId="0" shapeId="0">
      <text>
        <t>Loan: CCG 6 Trucks 820-825
Formula: Prior month closing balance</t>
      </text>
    </comment>
    <comment ref="D214" authorId="0" shapeId="0">
      <text>
        <t>Loan: CCG 6 Trucks 820-825
Formula: =MAX(0, Opening * AnnualRate / 12)
Prevents negative interest</t>
      </text>
    </comment>
    <comment ref="E214" authorId="0" shapeId="0">
      <text>
        <t>Loan: CCG 6 Trucks 820-825
Formula: =MAX(0, MIN(Opening, Payment - Interest))
Ensures principal does not exceed opening balance</t>
      </text>
    </comment>
    <comment ref="F214" authorId="0" shapeId="0">
      <text>
        <t>Loan: CCG 6 Trucks 820-825
Formula: =MAX(0, Opening - Principal)
Prevents negative closing balance</t>
      </text>
    </comment>
    <comment ref="C215" authorId="0" shapeId="0">
      <text>
        <t>Loan: CCG 6 Trucks 820-825
Formula: Prior month closing balance</t>
      </text>
    </comment>
    <comment ref="D215" authorId="0" shapeId="0">
      <text>
        <t>Loan: CCG 6 Trucks 820-825
Formula: =MAX(0, Opening * AnnualRate / 12)
Prevents negative interest</t>
      </text>
    </comment>
    <comment ref="E215" authorId="0" shapeId="0">
      <text>
        <t>Loan: CCG 6 Trucks 820-825
Formula: =MAX(0, MIN(Opening, Payment - Interest))
Ensures principal does not exceed opening balance</t>
      </text>
    </comment>
    <comment ref="F215" authorId="0" shapeId="0">
      <text>
        <t>Loan: CCG 6 Trucks 820-825
Formula: =MAX(0, Opening - Principal)
Prevents negative closing balance</t>
      </text>
    </comment>
    <comment ref="C216" authorId="0" shapeId="0">
      <text>
        <t>Loan: CCG 6 Trucks 820-825
Formula: Prior month closing balance</t>
      </text>
    </comment>
    <comment ref="D216" authorId="0" shapeId="0">
      <text>
        <t>Loan: CCG 6 Trucks 820-825
Formula: =MAX(0, Opening * AnnualRate / 12)
Prevents negative interest</t>
      </text>
    </comment>
    <comment ref="E216" authorId="0" shapeId="0">
      <text>
        <t>Loan: CCG 6 Trucks 820-825
Formula: =MAX(0, MIN(Opening, Payment - Interest))
Ensures principal does not exceed opening balance</t>
      </text>
    </comment>
    <comment ref="F216" authorId="0" shapeId="0">
      <text>
        <t>Loan: CCG 6 Trucks 820-825
Formula: =MAX(0, Opening - Principal)
Prevents negative closing balance</t>
      </text>
    </comment>
    <comment ref="C217" authorId="0" shapeId="0">
      <text>
        <t>Loan: CCG 6 Trucks 820-825
Formula: Prior month closing balance</t>
      </text>
    </comment>
    <comment ref="D217" authorId="0" shapeId="0">
      <text>
        <t>Loan: CCG 6 Trucks 820-825
Formula: =MAX(0, Opening * AnnualRate / 12)
Prevents negative interest</t>
      </text>
    </comment>
    <comment ref="E217" authorId="0" shapeId="0">
      <text>
        <t>Loan: CCG 6 Trucks 820-825
Formula: =MAX(0, MIN(Opening, Payment - Interest))
Ensures principal does not exceed opening balance</t>
      </text>
    </comment>
    <comment ref="F217" authorId="0" shapeId="0">
      <text>
        <t>Loan: CCG 6 Trucks 820-825
Formula: =MAX(0, Opening - Principal)
Prevents negative closing balance</t>
      </text>
    </comment>
    <comment ref="C218" authorId="0" shapeId="0">
      <text>
        <t>Loan: CCG 6 Trucks 820-825
Formula: Prior month closing balance</t>
      </text>
    </comment>
    <comment ref="D218" authorId="0" shapeId="0">
      <text>
        <t>Loan: CCG 6 Trucks 820-825
Formula: =MAX(0, Opening * AnnualRate / 12)
Prevents negative interest</t>
      </text>
    </comment>
    <comment ref="E218" authorId="0" shapeId="0">
      <text>
        <t>Loan: CCG 6 Trucks 820-825
Formula: =MAX(0, MIN(Opening, Payment - Interest))
Ensures principal does not exceed opening balance</t>
      </text>
    </comment>
    <comment ref="F218" authorId="0" shapeId="0">
      <text>
        <t>Loan: CCG 6 Trucks 820-825
Formula: =MAX(0, Opening - Principal)
Prevents negative closing balance</t>
      </text>
    </comment>
    <comment ref="C219" authorId="0" shapeId="0">
      <text>
        <t>Loan: CCG 6 Trucks 820-825
Formula: Prior month closing balance</t>
      </text>
    </comment>
    <comment ref="D219" authorId="0" shapeId="0">
      <text>
        <t>Loan: CCG 6 Trucks 820-825
Formula: =MAX(0, Opening * AnnualRate / 12)
Prevents negative interest</t>
      </text>
    </comment>
    <comment ref="E219" authorId="0" shapeId="0">
      <text>
        <t>Loan: CCG 6 Trucks 820-825
Formula: =MAX(0, MIN(Opening, Payment - Interest))
Ensures principal does not exceed opening balance</t>
      </text>
    </comment>
    <comment ref="F219" authorId="0" shapeId="0">
      <text>
        <t>Loan: CCG 6 Trucks 820-825
Formula: =MAX(0, Opening - Principal)
Prevents negative closing balance</t>
      </text>
    </comment>
    <comment ref="C220" authorId="0" shapeId="0">
      <text>
        <t>Loan: CCG 6 Trucks 820-825
Formula: Prior month closing balance</t>
      </text>
    </comment>
    <comment ref="D220" authorId="0" shapeId="0">
      <text>
        <t>Loan: CCG 6 Trucks 820-825
Formula: =MAX(0, Opening * AnnualRate / 12)
Prevents negative interest</t>
      </text>
    </comment>
    <comment ref="E220" authorId="0" shapeId="0">
      <text>
        <t>Loan: CCG 6 Trucks 820-825
Formula: =MAX(0, MIN(Opening, Payment - Interest))
Ensures principal does not exceed opening balance</t>
      </text>
    </comment>
    <comment ref="F220" authorId="0" shapeId="0">
      <text>
        <t>Loan: CCG 6 Trucks 820-825
Formula: =MAX(0, Opening - Principal)
Prevents negative closing balance</t>
      </text>
    </comment>
    <comment ref="C221" authorId="0" shapeId="0">
      <text>
        <t>Loan: CCG 6 Trucks 820-825
Formula: Prior month closing balance</t>
      </text>
    </comment>
    <comment ref="D221" authorId="0" shapeId="0">
      <text>
        <t>Loan: CCG 6 Trucks 820-825
Formula: =MAX(0, Opening * AnnualRate / 12)
Prevents negative interest</t>
      </text>
    </comment>
    <comment ref="E221" authorId="0" shapeId="0">
      <text>
        <t>Loan: CCG 6 Trucks 820-825
Formula: =MAX(0, MIN(Opening, Payment - Interest))
Ensures principal does not exceed opening balance</t>
      </text>
    </comment>
    <comment ref="F221" authorId="0" shapeId="0">
      <text>
        <t>Loan: CCG 6 Trucks 820-825
Formula: =MAX(0, Opening - Principal)
Prevents negative closing balance</t>
      </text>
    </comment>
    <comment ref="C222" authorId="0" shapeId="0">
      <text>
        <t>Loan: CCG 6 Trucks 820-825
Formula: Prior month closing balance</t>
      </text>
    </comment>
    <comment ref="D222" authorId="0" shapeId="0">
      <text>
        <t>Loan: CCG 6 Trucks 820-825
Formula: =MAX(0, Opening * AnnualRate / 12)
Prevents negative interest</t>
      </text>
    </comment>
    <comment ref="E222" authorId="0" shapeId="0">
      <text>
        <t>Loan: CCG 6 Trucks 820-825
Formula: =MAX(0, MIN(Opening, Payment - Interest))
Ensures principal does not exceed opening balance</t>
      </text>
    </comment>
    <comment ref="F222" authorId="0" shapeId="0">
      <text>
        <t>Loan: CCG 6 Trucks 820-825
Formula: =MAX(0, Opening - Principal)
Prevents negative closing balance</t>
      </text>
    </comment>
    <comment ref="C223" authorId="0" shapeId="0">
      <text>
        <t>Loan: CCG 6 Trucks 820-825
Formula: Prior month closing balance</t>
      </text>
    </comment>
    <comment ref="D223" authorId="0" shapeId="0">
      <text>
        <t>Loan: CCG 6 Trucks 820-825
Formula: =MAX(0, Opening * AnnualRate / 12)
Prevents negative interest</t>
      </text>
    </comment>
    <comment ref="E223" authorId="0" shapeId="0">
      <text>
        <t>Loan: CCG 6 Trucks 820-825
Formula: =MAX(0, MIN(Opening, Payment - Interest))
Ensures principal does not exceed opening balance</t>
      </text>
    </comment>
    <comment ref="F223" authorId="0" shapeId="0">
      <text>
        <t>Loan: CCG 6 Trucks 820-825
Formula: =MAX(0, Opening - Principal)
Prevents negative closing balance</t>
      </text>
    </comment>
    <comment ref="C224" authorId="0" shapeId="0">
      <text>
        <t>Loan: CCG 6 Trucks 820-825
Formula: Prior month closing balance</t>
      </text>
    </comment>
    <comment ref="D224" authorId="0" shapeId="0">
      <text>
        <t>Loan: CCG 6 Trucks 820-825
Formula: =MAX(0, Opening * AnnualRate / 12)
Prevents negative interest</t>
      </text>
    </comment>
    <comment ref="E224" authorId="0" shapeId="0">
      <text>
        <t>Loan: CCG 6 Trucks 820-825
Formula: =MAX(0, MIN(Opening, Payment - Interest))
Ensures principal does not exceed opening balance</t>
      </text>
    </comment>
    <comment ref="F224" authorId="0" shapeId="0">
      <text>
        <t>Loan: CCG 6 Trucks 820-825
Formula: =MAX(0, Opening - Principal)
Prevents negative closing balance</t>
      </text>
    </comment>
    <comment ref="C225" authorId="0" shapeId="0">
      <text>
        <t>Loan: CCG 6 Trucks 820-825
Formula: Prior month closing balance</t>
      </text>
    </comment>
    <comment ref="D225" authorId="0" shapeId="0">
      <text>
        <t>Loan: CCG 6 Trucks 820-825
Formula: =MAX(0, Opening * AnnualRate / 12)
Prevents negative interest</t>
      </text>
    </comment>
    <comment ref="E225" authorId="0" shapeId="0">
      <text>
        <t>Loan: CCG 6 Trucks 820-825
Formula: =MAX(0, MIN(Opening, Payment - Interest))
Ensures principal does not exceed opening balance</t>
      </text>
    </comment>
    <comment ref="F225" authorId="0" shapeId="0">
      <text>
        <t>Loan: CCG 6 Trucks 820-825
Formula: =MAX(0, Opening - Principal)
Prevents negative closing balance</t>
      </text>
    </comment>
    <comment ref="C226" authorId="0" shapeId="0">
      <text>
        <t>Loan: CCG 6 Trucks 820-825
Formula: Prior month closing balance</t>
      </text>
    </comment>
    <comment ref="D226" authorId="0" shapeId="0">
      <text>
        <t>Loan: CCG 6 Trucks 820-825
Formula: =MAX(0, Opening * AnnualRate / 12)
Prevents negative interest</t>
      </text>
    </comment>
    <comment ref="E226" authorId="0" shapeId="0">
      <text>
        <t>Loan: CCG 6 Trucks 820-825
Formula: =MAX(0, MIN(Opening, Payment - Interest))
Ensures principal does not exceed opening balance</t>
      </text>
    </comment>
    <comment ref="F226" authorId="0" shapeId="0">
      <text>
        <t>Loan: CCG 6 Trucks 820-825
Formula: =MAX(0, Opening - Principal)
Prevents negative closing balance</t>
      </text>
    </comment>
    <comment ref="C227" authorId="0" shapeId="0">
      <text>
        <t>Loan: CCG 6 Trucks 820-825
Formula: Prior month closing balance</t>
      </text>
    </comment>
    <comment ref="D227" authorId="0" shapeId="0">
      <text>
        <t>Loan: CCG 6 Trucks 820-825
Formula: =MAX(0, Opening * AnnualRate / 12)
Prevents negative interest</t>
      </text>
    </comment>
    <comment ref="E227" authorId="0" shapeId="0">
      <text>
        <t>Loan: CCG 6 Trucks 820-825
Formula: =MAX(0, MIN(Opening, Payment - Interest))
Ensures principal does not exceed opening balance</t>
      </text>
    </comment>
    <comment ref="F227" authorId="0" shapeId="0">
      <text>
        <t>Loan: CCG 6 Trucks 820-825
Formula: =MAX(0, Opening - Principal)
Prevents negative closing balance</t>
      </text>
    </comment>
    <comment ref="C228" authorId="0" shapeId="0">
      <text>
        <t>Loan: CCG 6 Trucks 820-825
Formula: Prior month closing balance</t>
      </text>
    </comment>
    <comment ref="D228" authorId="0" shapeId="0">
      <text>
        <t>Loan: CCG 6 Trucks 820-825
Formula: =MAX(0, Opening * AnnualRate / 12)
Prevents negative interest</t>
      </text>
    </comment>
    <comment ref="E228" authorId="0" shapeId="0">
      <text>
        <t>Loan: CCG 6 Trucks 820-825
Formula: =MAX(0, MIN(Opening, Payment - Interest))
Ensures principal does not exceed opening balance</t>
      </text>
    </comment>
    <comment ref="F228" authorId="0" shapeId="0">
      <text>
        <t>Loan: CCG 6 Trucks 820-825
Formula: =MAX(0, Opening - Principal)
Prevents negative closing balance</t>
      </text>
    </comment>
    <comment ref="C229" authorId="0" shapeId="0">
      <text>
        <t>Loan: CCG 6 Trucks 820-825
Formula: Prior month closing balance</t>
      </text>
    </comment>
    <comment ref="D229" authorId="0" shapeId="0">
      <text>
        <t>Loan: CCG 6 Trucks 820-825
Formula: =MAX(0, Opening * AnnualRate / 12)
Prevents negative interest</t>
      </text>
    </comment>
    <comment ref="E229" authorId="0" shapeId="0">
      <text>
        <t>Loan: CCG 6 Trucks 820-825
Formula: =MAX(0, MIN(Opening, Payment - Interest))
Ensures principal does not exceed opening balance</t>
      </text>
    </comment>
    <comment ref="F229" authorId="0" shapeId="0">
      <text>
        <t>Loan: CCG 6 Trucks 820-825
Formula: =MAX(0, Opening - Principal)
Prevents negative closing balance</t>
      </text>
    </comment>
    <comment ref="C230" authorId="0" shapeId="0">
      <text>
        <t>Loan: CCG 6 Trucks 820-825
Formula: Prior month closing balance</t>
      </text>
    </comment>
    <comment ref="D230" authorId="0" shapeId="0">
      <text>
        <t>Loan: CCG 6 Trucks 820-825
Formula: =MAX(0, Opening * AnnualRate / 12)
Prevents negative interest</t>
      </text>
    </comment>
    <comment ref="E230" authorId="0" shapeId="0">
      <text>
        <t>Loan: CCG 6 Trucks 820-825
Formula: =MAX(0, MIN(Opening, Payment - Interest))
Ensures principal does not exceed opening balance</t>
      </text>
    </comment>
    <comment ref="F230" authorId="0" shapeId="0">
      <text>
        <t>Loan: CCG 6 Trucks 820-825
Formula: =MAX(0, Opening - Principal)
Prevents negative closing balance</t>
      </text>
    </comment>
    <comment ref="C231" authorId="0" shapeId="0">
      <text>
        <t>Loan: CCG 6 Trucks 820-825
Formula: Prior month closing balance</t>
      </text>
    </comment>
    <comment ref="D231" authorId="0" shapeId="0">
      <text>
        <t>Loan: CCG 6 Trucks 820-825
Formula: =MAX(0, Opening * AnnualRate / 12)
Prevents negative interest</t>
      </text>
    </comment>
    <comment ref="E231" authorId="0" shapeId="0">
      <text>
        <t>Loan: CCG 6 Trucks 820-825
Formula: =MAX(0, MIN(Opening, Payment - Interest))
Ensures principal does not exceed opening balance</t>
      </text>
    </comment>
    <comment ref="F231" authorId="0" shapeId="0">
      <text>
        <t>Loan: CCG 6 Trucks 820-825
Formula: =MAX(0, Opening - Principal)
Prevents negative closing balance</t>
      </text>
    </comment>
    <comment ref="C232" authorId="0" shapeId="0">
      <text>
        <t>Loan: CCG 6 Trucks 820-825
Formula: Prior month closing balance</t>
      </text>
    </comment>
    <comment ref="D232" authorId="0" shapeId="0">
      <text>
        <t>Loan: CCG 6 Trucks 820-825
Formula: =MAX(0, Opening * AnnualRate / 12)
Prevents negative interest</t>
      </text>
    </comment>
    <comment ref="E232" authorId="0" shapeId="0">
      <text>
        <t>Loan: CCG 6 Trucks 820-825
Formula: =MAX(0, MIN(Opening, Payment - Interest))
Ensures principal does not exceed opening balance</t>
      </text>
    </comment>
    <comment ref="F232" authorId="0" shapeId="0">
      <text>
        <t>Loan: CCG 6 Trucks 820-825
Formula: =MAX(0, Opening - Principal)
Prevents negative closing balance</t>
      </text>
    </comment>
    <comment ref="C233" authorId="0" shapeId="0">
      <text>
        <t>Loan: CCG 6 Trucks 820-825
Formula: Prior month closing balance</t>
      </text>
    </comment>
    <comment ref="D233" authorId="0" shapeId="0">
      <text>
        <t>Loan: CCG 6 Trucks 820-825
Formula: =MAX(0, Opening * AnnualRate / 12)
Prevents negative interest</t>
      </text>
    </comment>
    <comment ref="E233" authorId="0" shapeId="0">
      <text>
        <t>Loan: CCG 6 Trucks 820-825
Formula: =MAX(0, MIN(Opening, Payment - Interest))
Ensures principal does not exceed opening balance</t>
      </text>
    </comment>
    <comment ref="F233" authorId="0" shapeId="0">
      <text>
        <t>Loan: CCG 6 Trucks 820-825
Formula: =MAX(0, Opening - Principal)
Prevents negative closing balance</t>
      </text>
    </comment>
    <comment ref="C234" authorId="0" shapeId="0">
      <text>
        <t>Loan: CCG 6 Trucks 820-825
Formula: Prior month closing balance</t>
      </text>
    </comment>
    <comment ref="D234" authorId="0" shapeId="0">
      <text>
        <t>Loan: CCG 6 Trucks 820-825
Formula: =MAX(0, Opening * AnnualRate / 12)
Prevents negative interest</t>
      </text>
    </comment>
    <comment ref="E234" authorId="0" shapeId="0">
      <text>
        <t>Loan: CCG 6 Trucks 820-825
Formula: =MAX(0, MIN(Opening, Payment - Interest))
Ensures principal does not exceed opening balance</t>
      </text>
    </comment>
    <comment ref="F234" authorId="0" shapeId="0">
      <text>
        <t>Loan: CCG 6 Trucks 820-825
Formula: =MAX(0, Opening - Principal)
Prevents negative closing balance</t>
      </text>
    </comment>
    <comment ref="C235" authorId="0" shapeId="0">
      <text>
        <t>Loan: CCG 6 Trucks 820-825
Formula: Prior month closing balance</t>
      </text>
    </comment>
    <comment ref="D235" authorId="0" shapeId="0">
      <text>
        <t>Loan: CCG 6 Trucks 820-825
Formula: =MAX(0, Opening * AnnualRate / 12)
Prevents negative interest</t>
      </text>
    </comment>
    <comment ref="E235" authorId="0" shapeId="0">
      <text>
        <t>Loan: CCG 6 Trucks 820-825
Formula: =MAX(0, MIN(Opening, Payment - Interest))
Ensures principal does not exceed opening balance</t>
      </text>
    </comment>
    <comment ref="F235" authorId="0" shapeId="0">
      <text>
        <t>Loan: CCG 6 Trucks 820-825
Formula: =MAX(0, Opening - Principal)
Prevents negative closing balance</t>
      </text>
    </comment>
    <comment ref="D236" authorId="0" shapeId="0">
      <text>
        <t>Sum of rows 179-235: Total interest over loan life</t>
      </text>
    </comment>
    <comment ref="E236" authorId="0" shapeId="0">
      <text>
        <t>Sum of rows 179-235: Total principal over loan life</t>
      </text>
    </comment>
  </commentList>
</comments>
</file>

<file path=xl/comments/comment6.xml><?xml version="1.0" encoding="utf-8"?>
<comments xmlns="http://schemas.openxmlformats.org/spreadsheetml/2006/main">
  <authors>
    <author>Model Builder</author>
  </authors>
  <commentList>
    <comment ref="C3" authorId="0" shapeId="0">
      <text>
        <t>Source: data/loans.md
Loan ID: 05-2942-000-000-00
Account: 001-0412932-001
As of Nov 30, 2025</t>
      </text>
    </comment>
    <comment ref="D3" authorId="0" shapeId="0">
      <text>
        <t>Source: data/loans.md
Fixed rate loan originated 2017-06-21</t>
      </text>
    </comment>
    <comment ref="F3" authorId="0" shapeId="0">
      <text>
        <t>Source: data/loans.md
Fixed monthly P&amp;I payment</t>
      </text>
    </comment>
    <comment ref="C4" authorId="0" shapeId="0">
      <text>
        <t>Source: data/loans.md
Loan ID: 05-2943-000-000-00
Account: 001-0024599-000
As of Nov 30, 2025</t>
      </text>
    </comment>
    <comment ref="D4" authorId="0" shapeId="0">
      <text>
        <t>Source: data/loans.md
Fixed rate loan originated 2017-07-31</t>
      </text>
    </comment>
    <comment ref="F4" authorId="0" shapeId="0">
      <text>
        <t>Source: data/loans.md
Fixed monthly P&amp;I payment</t>
      </text>
    </comment>
    <comment ref="C5" authorId="0" shapeId="0">
      <text>
        <t>Source: data/loans.md
Loan ID: 05-2945-000-000-00
Account: 412932-105
As of Nov 30, 2025</t>
      </text>
    </comment>
    <comment ref="D5" authorId="0" shapeId="0">
      <text>
        <t>Source: data/loans.md
Fixed rate loan originated 2018-04-13</t>
      </text>
    </comment>
    <comment ref="F5" authorId="0" shapeId="0">
      <text>
        <t>Source: data/loans.md
Fixed monthly P&amp;I payment</t>
      </text>
    </comment>
    <comment ref="C6" authorId="0" shapeId="0">
      <text>
        <t>Sum of rows 3-5: All Wells Fargo loans</t>
      </text>
    </comment>
    <comment ref="F6" authorId="0" shapeId="0">
      <text>
        <t>Sum of rows 3-5: Total monthly payments</t>
      </text>
    </comment>
    <comment ref="B21" authorId="0" shapeId="0">
      <text>
        <t>Source: data/loans.md, Wells Fargo Loan 1: 40 Trailers (June 2017)</t>
      </text>
    </comment>
    <comment ref="B22" authorId="0" shapeId="0">
      <text>
        <t>Source: data/loans.md, Wells Fargo Loan 1: 40 Trailers (June 2017)</t>
      </text>
    </comment>
    <comment ref="B23" authorId="0" shapeId="0">
      <text>
        <t>Source: data/loans.md, fixed rate for loan term</t>
      </text>
    </comment>
    <comment ref="B24" authorId="0" shapeId="0">
      <text>
        <t>Source: data/loans.md, fixed monthly P&amp;I payment</t>
      </text>
    </comment>
    <comment ref="C31" authorId="0" shapeId="0">
      <text>
        <t>Loan: Wells Fargo, Loan 1: 40 Trailers (June 2017). Source: data/loans.md</t>
      </text>
    </comment>
    <comment ref="D31" authorId="0" shapeId="0">
      <text>
        <t>Loan: Wells Fargo, Loan 1: 40 Trailers (June 2017). Formula: Opening * Annual Rate / 12</t>
      </text>
    </comment>
    <comment ref="E31" authorId="0" shapeId="0">
      <text>
        <t>Loan: Wells Fargo, Loan 1: 40 Trailers (June 2017). Formula: MIN(Opening, Payment - Interest)</t>
      </text>
    </comment>
    <comment ref="F31" authorId="0" shapeId="0">
      <text>
        <t>Loan: Wells Fargo, Loan 1: 40 Trailers (June 2017). Formula: Opening - Principal</t>
      </text>
    </comment>
    <comment ref="C32" authorId="0" shapeId="0">
      <text>
        <t>Loan: Wells Fargo, Loan 1: 40 Trailers (June 2017). Source: data/loans.md</t>
      </text>
    </comment>
    <comment ref="D32" authorId="0" shapeId="0">
      <text>
        <t>Loan: Wells Fargo, Loan 1: 40 Trailers (June 2017). Formula: Opening * Annual Rate / 12</t>
      </text>
    </comment>
    <comment ref="E32" authorId="0" shapeId="0">
      <text>
        <t>Loan: Wells Fargo, Loan 1: 40 Trailers (June 2017). Formula: MIN(Opening, Payment - Interest)</t>
      </text>
    </comment>
    <comment ref="F32" authorId="0" shapeId="0">
      <text>
        <t>Loan: Wells Fargo, Loan 1: 40 Trailers (June 2017). Formula: Opening - Principal</t>
      </text>
    </comment>
    <comment ref="D33" authorId="0" shapeId="0">
      <text>
        <t>Sum of rows 31-32: Total interest over loan life</t>
      </text>
    </comment>
    <comment ref="E33" authorId="0" shapeId="0">
      <text>
        <t>Sum of rows 31-32: Total principal repaid</t>
      </text>
    </comment>
    <comment ref="B39" authorId="0" shapeId="0">
      <text>
        <t>Source: data/loans.md, Wells Fargo Loan 2: 35 Trailers (July 2017)</t>
      </text>
    </comment>
    <comment ref="B40" authorId="0" shapeId="0">
      <text>
        <t>Source: data/loans.md, Wells Fargo Loan 2: 35 Trailers (July 2017)</t>
      </text>
    </comment>
    <comment ref="B41" authorId="0" shapeId="0">
      <text>
        <t>Source: data/loans.md, fixed rate for loan term</t>
      </text>
    </comment>
    <comment ref="B42" authorId="0" shapeId="0">
      <text>
        <t>Source: data/loans.md, fixed monthly P&amp;I payment</t>
      </text>
    </comment>
    <comment ref="C49" authorId="0" shapeId="0">
      <text>
        <t>Loan: Wells Fargo, Loan 2: 35 Trailers (July 2017). Source: data/loans.md</t>
      </text>
    </comment>
    <comment ref="D49" authorId="0" shapeId="0">
      <text>
        <t>Loan: Wells Fargo, Loan 2: 35 Trailers (July 2017). Formula: Opening * Annual Rate / 12</t>
      </text>
    </comment>
    <comment ref="E49" authorId="0" shapeId="0">
      <text>
        <t>Loan: Wells Fargo, Loan 2: 35 Trailers (July 2017). Formula: MIN(Opening, Payment - Interest)</t>
      </text>
    </comment>
    <comment ref="F49" authorId="0" shapeId="0">
      <text>
        <t>Loan: Wells Fargo, Loan 2: 35 Trailers (July 2017). Formula: Opening - Principal</t>
      </text>
    </comment>
    <comment ref="C50" authorId="0" shapeId="0">
      <text>
        <t>Loan: Wells Fargo, Loan 2: 35 Trailers (July 2017). Source: data/loans.md</t>
      </text>
    </comment>
    <comment ref="D50" authorId="0" shapeId="0">
      <text>
        <t>Loan: Wells Fargo, Loan 2: 35 Trailers (July 2017). Formula: Opening * Annual Rate / 12</t>
      </text>
    </comment>
    <comment ref="E50" authorId="0" shapeId="0">
      <text>
        <t>Loan: Wells Fargo, Loan 2: 35 Trailers (July 2017). Formula: MIN(Opening, Payment - Interest)</t>
      </text>
    </comment>
    <comment ref="F50" authorId="0" shapeId="0">
      <text>
        <t>Loan: Wells Fargo, Loan 2: 35 Trailers (July 2017). Formula: Opening - Principal</t>
      </text>
    </comment>
    <comment ref="C51" authorId="0" shapeId="0">
      <text>
        <t>Loan: Wells Fargo, Loan 2: 35 Trailers (July 2017). Source: data/loans.md</t>
      </text>
    </comment>
    <comment ref="D51" authorId="0" shapeId="0">
      <text>
        <t>Loan: Wells Fargo, Loan 2: 35 Trailers (July 2017). Formula: Opening * Annual Rate / 12</t>
      </text>
    </comment>
    <comment ref="E51" authorId="0" shapeId="0">
      <text>
        <t>Loan: Wells Fargo, Loan 2: 35 Trailers (July 2017). Formula: MIN(Opening, Payment - Interest)</t>
      </text>
    </comment>
    <comment ref="F51" authorId="0" shapeId="0">
      <text>
        <t>Loan: Wells Fargo, Loan 2: 35 Trailers (July 2017). Formula: Opening - Principal</t>
      </text>
    </comment>
    <comment ref="D52" authorId="0" shapeId="0">
      <text>
        <t>Sum of rows 49-51: Total interest over loan life</t>
      </text>
    </comment>
    <comment ref="E52" authorId="0" shapeId="0">
      <text>
        <t>Sum of rows 49-51: Total principal repaid</t>
      </text>
    </comment>
    <comment ref="B58" authorId="0" shapeId="0">
      <text>
        <t>Source: data/loans.md, Wells Fargo Loan 3: 27 Trailers (April 2018)</t>
      </text>
    </comment>
    <comment ref="B59" authorId="0" shapeId="0">
      <text>
        <t>Source: data/loans.md, Wells Fargo Loan 3: 27 Trailers (April 2018)</t>
      </text>
    </comment>
    <comment ref="B60" authorId="0" shapeId="0">
      <text>
        <t>Source: data/loans.md, fixed rate for loan term</t>
      </text>
    </comment>
    <comment ref="B61" authorId="0" shapeId="0">
      <text>
        <t>Source: data/loans.md, fixed monthly P&amp;I payment</t>
      </text>
    </comment>
    <comment ref="C68" authorId="0" shapeId="0">
      <text>
        <t>Loan: Wells Fargo, Loan 3: 27 Trailers (April 2018). Source: data/loans.md</t>
      </text>
    </comment>
    <comment ref="D68" authorId="0" shapeId="0">
      <text>
        <t>Loan: Wells Fargo, Loan 3: 27 Trailers (April 2018). Formula: Opening * Annual Rate / 12</t>
      </text>
    </comment>
    <comment ref="E68" authorId="0" shapeId="0">
      <text>
        <t>Loan: Wells Fargo, Loan 3: 27 Trailers (April 2018). Formula: MIN(Opening, Payment - Interest)</t>
      </text>
    </comment>
    <comment ref="F68" authorId="0" shapeId="0">
      <text>
        <t>Loan: Wells Fargo, Loan 3: 27 Trailers (April 2018). Formula: Opening - Principal</t>
      </text>
    </comment>
    <comment ref="D69" authorId="0" shapeId="0">
      <text>
        <t>Sum of rows 68-68: Total interest over loan life</t>
      </text>
    </comment>
    <comment ref="E69" authorId="0" shapeId="0">
      <text>
        <t>Sum of rows 68-68: Total principal repaid</t>
      </text>
    </comment>
    <comment ref="B74" authorId="0" shapeId="0">
      <text>
        <t>Sum of all 3 loan opening balances as of Dec 2025</t>
      </text>
    </comment>
    <comment ref="B77" authorId="0" shapeId="0">
      <text>
        <t>Check: must be 0. Non-zero = model error.</t>
      </text>
    </comment>
  </commentList>
</comments>
</file>

<file path=xl/comments/comment7.xml><?xml version="1.0" encoding="utf-8"?>
<comments xmlns="http://schemas.openxmlformats.org/spreadsheetml/2006/main">
  <authors>
    <author>Model Builder</author>
  </authors>
  <commentList>
    <comment ref="A1" authorId="0" shapeId="0">
      <text>
        <t>Source: Meiborg_Debt_Schedule_202511.xlsx
Extracted: 2025-11-30</t>
      </text>
    </comment>
    <comment ref="C2" authorId="0" shapeId="0">
      <text>
        <t>Source: loans.md
Extracted: 2025-11-30</t>
      </text>
    </comment>
    <comment ref="C3" authorId="0" shapeId="0">
      <text>
        <t>Source: Meiborg_Debt_Schedule_202511.xlsx
Extracted: 2025-11-30</t>
      </text>
    </comment>
    <comment ref="C5" authorId="0" shapeId="0">
      <text>
        <t>Source: loans.md - Webster Total Balance
Extracted: 2025-11-30</t>
      </text>
    </comment>
    <comment ref="C6" authorId="0" shapeId="0">
      <text>
        <t>Source: loans.md - Webster Total Monthly
Extracted: 2025-11-30</t>
      </text>
    </comment>
    <comment ref="D9" authorId="0" shapeId="0">
      <text>
        <t>Source: loans.md - 25 Trailers (2019)
Extracted: 2025-11-30</t>
      </text>
    </comment>
    <comment ref="D10" authorId="0" shapeId="0">
      <text>
        <t>Source: loans.md - 3 Freightliner Daycabs (Sept 2021)
Extracted: 2025-11-30</t>
      </text>
    </comment>
    <comment ref="D11" authorId="0" shapeId="0">
      <text>
        <t>Source: loans.md - 25 Trailers (Oct 2021)
Extracted: 2025-11-30</t>
      </text>
    </comment>
    <comment ref="D12" authorId="0" shapeId="0">
      <text>
        <t>Source: loans.md - 30 Trailers (June 2022)
Extracted: 2025-11-30</t>
      </text>
    </comment>
    <comment ref="D13" authorId="0" shapeId="0">
      <text>
        <t>Source: loans.md - 7 T680 Trucks (March 2023)
Extracted: 2025-11-30</t>
      </text>
    </comment>
    <comment ref="D14" authorId="0" shapeId="0">
      <text>
        <t>Source: loans.md - 25 Trailers (April 2023)
Extracted: 2025-11-30</t>
      </text>
    </comment>
    <comment ref="A25" authorId="0" shapeId="0">
      <text>
        <t>Loan: Webster Capital Finance, AMORTIZING.
Source: Meiborg_Debt_Schedule_202511.xlsx</t>
      </text>
    </comment>
    <comment ref="C26" authorId="0" shapeId="0">
      <text>
        <t>Source: loans.md - 25 Trailers (2019)
Extracted: 2025-11-30</t>
      </text>
    </comment>
    <comment ref="C27" authorId="0" shapeId="0">
      <text>
        <t>Source: loans.md - 25 Trailers (2019)
Extracted: 2025-11-30</t>
      </text>
    </comment>
    <comment ref="C28" authorId="0" shapeId="0">
      <text>
        <t>Source: loans.md - 25 Trailers (2019)
Extracted: 2025-11-30</t>
      </text>
    </comment>
    <comment ref="C29" authorId="0" shapeId="0">
      <text>
        <t>Source: loans.md - 25 Trailers (2019)
Extracted: 2025-11-30</t>
      </text>
    </comment>
    <comment ref="C30" authorId="0" shapeId="0">
      <text>
        <t>Source: loans.md - 25 Trailers (2019)
Extracted: 2025-11-30</t>
      </text>
    </comment>
    <comment ref="C31" authorId="0" shapeId="0">
      <text>
        <t>Source: loans.md - 25 Trailers (2019)
Extracted: 2025-11-30</t>
      </text>
    </comment>
    <comment ref="C32" authorId="0" shapeId="0">
      <text>
        <t>Source: loans.md - 25 Trailers (2019)
Extracted: 2025-11-30</t>
      </text>
    </comment>
    <comment ref="C33" authorId="0" shapeId="0">
      <text>
        <t>Source: loans.md - 25 Trailers (2019)
Extracted: 2025-11-30</t>
      </text>
    </comment>
    <comment ref="C34" authorId="0" shapeId="0">
      <text>
        <t>Source: loans.md - 25 Trailers (2019)
Extracted: 2025-11-30</t>
      </text>
    </comment>
    <comment ref="C35" authorId="0" shapeId="0">
      <text>
        <t>Source: loans.md - 25 Trailers (2019)
Extracted: 2025-11-30</t>
      </text>
    </comment>
    <comment ref="D38" authorId="0" shapeId="0">
      <text>
        <t>Source: loans.md - Remaining Balance
Extracted: 2025-11-30</t>
      </text>
    </comment>
    <comment ref="E38" authorId="0" shapeId="0">
      <text>
        <t>Loan: Webster, 25 Trailers (2019).
Formula: MAX(0, Opening * AnnualRate / 12)</t>
      </text>
    </comment>
    <comment ref="F38" authorId="0" shapeId="0">
      <text>
        <t>Loan: Webster, 25 Trailers (2019).
Formula: MAX(0, MIN(Opening, Payment - Interest))</t>
      </text>
    </comment>
    <comment ref="G38" authorId="0" shapeId="0">
      <text>
        <t>Loan: Webster, 25 Trailers (2019).
Formula: MAX(0, Opening - Principal)</t>
      </text>
    </comment>
    <comment ref="D39" authorId="0" shapeId="0">
      <text>
        <t>Links to: _Webster row 38 - Prior Closing Balance</t>
      </text>
    </comment>
    <comment ref="E39" authorId="0" shapeId="0">
      <text>
        <t>Loan: Webster, 25 Trailers (2019).
Formula: MAX(0, Opening * AnnualRate / 12)</t>
      </text>
    </comment>
    <comment ref="F39" authorId="0" shapeId="0">
      <text>
        <t>Loan: Webster, 25 Trailers (2019).
Formula: MAX(0, MIN(Opening, Payment - Interest))</t>
      </text>
    </comment>
    <comment ref="G39" authorId="0" shapeId="0">
      <text>
        <t>Loan: Webster, 25 Trailers (2019).
Formula: MAX(0, Opening - Principal)</t>
      </text>
    </comment>
    <comment ref="D40" authorId="0" shapeId="0">
      <text>
        <t>Links to: _Webster row 39 - Prior Closing Balance</t>
      </text>
    </comment>
    <comment ref="E40" authorId="0" shapeId="0">
      <text>
        <t>Loan: Webster, 25 Trailers (2019).
Formula: MAX(0, Opening * AnnualRate / 12)</t>
      </text>
    </comment>
    <comment ref="F40" authorId="0" shapeId="0">
      <text>
        <t>Loan: Webster, 25 Trailers (2019).
Formula: MAX(0, MIN(Opening, Payment - Interest))</t>
      </text>
    </comment>
    <comment ref="G40" authorId="0" shapeId="0">
      <text>
        <t>Loan: Webster, 25 Trailers (2019).
Formula: MAX(0, Opening - Principal)</t>
      </text>
    </comment>
    <comment ref="D41" authorId="0" shapeId="0">
      <text>
        <t>Links to: _Webster row 40 - Prior Closing Balance</t>
      </text>
    </comment>
    <comment ref="E41" authorId="0" shapeId="0">
      <text>
        <t>Loan: Webster, 25 Trailers (2019).
Formula: MAX(0, Opening * AnnualRate / 12)</t>
      </text>
    </comment>
    <comment ref="F41" authorId="0" shapeId="0">
      <text>
        <t>Loan: Webster, 25 Trailers (2019).
Formula: MAX(0, MIN(Opening, Payment - Interest))</t>
      </text>
    </comment>
    <comment ref="G41" authorId="0" shapeId="0">
      <text>
        <t>Loan: Webster, 25 Trailers (2019).
Formula: MAX(0, Opening - Principal)</t>
      </text>
    </comment>
    <comment ref="D42" authorId="0" shapeId="0">
      <text>
        <t>Links to: _Webster row 41 - Prior Closing Balance</t>
      </text>
    </comment>
    <comment ref="E42" authorId="0" shapeId="0">
      <text>
        <t>Loan: Webster, 25 Trailers (2019).
Formula: MAX(0, Opening * AnnualRate / 12)</t>
      </text>
    </comment>
    <comment ref="F42" authorId="0" shapeId="0">
      <text>
        <t>Loan: Webster, 25 Trailers (2019).
Formula: MAX(0, MIN(Opening, Payment - Interest))</t>
      </text>
    </comment>
    <comment ref="G42" authorId="0" shapeId="0">
      <text>
        <t>Loan: Webster, 25 Trailers (2019).
Formula: MAX(0, Opening - Principal)</t>
      </text>
    </comment>
    <comment ref="D43" authorId="0" shapeId="0">
      <text>
        <t>Links to: _Webster row 42 - Prior Closing Balance</t>
      </text>
    </comment>
    <comment ref="E43" authorId="0" shapeId="0">
      <text>
        <t>Loan: Webster, 25 Trailers (2019).
Formula: MAX(0, Opening * AnnualRate / 12)</t>
      </text>
    </comment>
    <comment ref="F43" authorId="0" shapeId="0">
      <text>
        <t>Loan: Webster, 25 Trailers (2019).
Formula: MAX(0, MIN(Opening, Payment - Interest))</t>
      </text>
    </comment>
    <comment ref="G43" authorId="0" shapeId="0">
      <text>
        <t>Loan: Webster, 25 Trailers (2019).
Formula: MAX(0, Opening - Principal)</t>
      </text>
    </comment>
    <comment ref="D44" authorId="0" shapeId="0">
      <text>
        <t>Links to: _Webster row 43 - Prior Closing Balance</t>
      </text>
    </comment>
    <comment ref="E44" authorId="0" shapeId="0">
      <text>
        <t>Loan: Webster, 25 Trailers (2019).
Formula: MAX(0, Opening * AnnualRate / 12)</t>
      </text>
    </comment>
    <comment ref="F44" authorId="0" shapeId="0">
      <text>
        <t>Loan: Webster, 25 Trailers (2019).
Formula: MAX(0, MIN(Opening, Payment - Interest))</t>
      </text>
    </comment>
    <comment ref="G44" authorId="0" shapeId="0">
      <text>
        <t>Loan: Webster, 25 Trailers (2019).
Formula: MAX(0, Opening - Principal)</t>
      </text>
    </comment>
    <comment ref="D45" authorId="0" shapeId="0">
      <text>
        <t>Links to: _Webster row 44 - Prior Closing Balance</t>
      </text>
    </comment>
    <comment ref="E45" authorId="0" shapeId="0">
      <text>
        <t>Loan: Webster, 25 Trailers (2019).
Formula: MAX(0, Opening * AnnualRate / 12)</t>
      </text>
    </comment>
    <comment ref="F45" authorId="0" shapeId="0">
      <text>
        <t>Loan: Webster, 25 Trailers (2019).
Formula: MAX(0, MIN(Opening, Payment - Interest))</t>
      </text>
    </comment>
    <comment ref="G45" authorId="0" shapeId="0">
      <text>
        <t>Loan: Webster, 25 Trailers (2019).
Formula: MAX(0, Opening - Principal)</t>
      </text>
    </comment>
    <comment ref="D46" authorId="0" shapeId="0">
      <text>
        <t>Links to: _Webster row 45 - Prior Closing Balance</t>
      </text>
    </comment>
    <comment ref="E46" authorId="0" shapeId="0">
      <text>
        <t>Loan: Webster, 25 Trailers (2019).
Formula: MAX(0, Opening * AnnualRate / 12)</t>
      </text>
    </comment>
    <comment ref="F46" authorId="0" shapeId="0">
      <text>
        <t>Loan: Webster, 25 Trailers (2019).
Formula: MAX(0, MIN(Opening, Payment - Interest))</t>
      </text>
    </comment>
    <comment ref="G46" authorId="0" shapeId="0">
      <text>
        <t>Loan: Webster, 25 Trailers (2019).
Formula: MAX(0, Opening - Principal)</t>
      </text>
    </comment>
    <comment ref="D47" authorId="0" shapeId="0">
      <text>
        <t>Links to: _Webster row 46 - Prior Closing Balance</t>
      </text>
    </comment>
    <comment ref="E47" authorId="0" shapeId="0">
      <text>
        <t>Loan: Webster, 25 Trailers (2019).
Formula: MAX(0, Opening * AnnualRate / 12)</t>
      </text>
    </comment>
    <comment ref="F47" authorId="0" shapeId="0">
      <text>
        <t>Loan: Webster, 25 Trailers (2019).
Formula: MAX(0, MIN(Opening, Payment - Interest))</t>
      </text>
    </comment>
    <comment ref="G47" authorId="0" shapeId="0">
      <text>
        <t>Loan: Webster, 25 Trailers (2019).
Formula: MAX(0, Opening - Principal)</t>
      </text>
    </comment>
    <comment ref="D48" authorId="0" shapeId="0">
      <text>
        <t>Links to: _Webster row 47 - Prior Closing Balance</t>
      </text>
    </comment>
    <comment ref="E48" authorId="0" shapeId="0">
      <text>
        <t>Loan: Webster, 25 Trailers (2019).
Formula: MAX(0, Opening * AnnualRate / 12)</t>
      </text>
    </comment>
    <comment ref="F48" authorId="0" shapeId="0">
      <text>
        <t>Loan: Webster, 25 Trailers (2019).
Formula: MAX(0, MIN(Opening, Payment - Interest))</t>
      </text>
    </comment>
    <comment ref="G48" authorId="0" shapeId="0">
      <text>
        <t>Loan: Webster, 25 Trailers (2019).
Formula: MAX(0, Opening - Principal)</t>
      </text>
    </comment>
    <comment ref="D49" authorId="0" shapeId="0">
      <text>
        <t>Links to: _Webster row 48 - Prior Closing Balance</t>
      </text>
    </comment>
    <comment ref="E49" authorId="0" shapeId="0">
      <text>
        <t>Loan: Webster, 25 Trailers (2019).
Formula: MAX(0, Opening * AnnualRate / 12)</t>
      </text>
    </comment>
    <comment ref="F49" authorId="0" shapeId="0">
      <text>
        <t>Loan: Webster, 25 Trailers (2019).
Formula: MAX(0, MIN(Opening, Payment - Interest))</t>
      </text>
    </comment>
    <comment ref="G49" authorId="0" shapeId="0">
      <text>
        <t>Loan: Webster, 25 Trailers (2019).
Formula: MAX(0, Opening - Principal)</t>
      </text>
    </comment>
    <comment ref="D50" authorId="0" shapeId="0">
      <text>
        <t>Links to: _Webster row 49 - Prior Closing Balance</t>
      </text>
    </comment>
    <comment ref="E50" authorId="0" shapeId="0">
      <text>
        <t>Loan: Webster, 25 Trailers (2019).
Formula: MAX(0, Opening * AnnualRate / 12)</t>
      </text>
    </comment>
    <comment ref="F50" authorId="0" shapeId="0">
      <text>
        <t>Loan: Webster, 25 Trailers (2019).
Formula: MAX(0, MIN(Opening, Payment - Interest))</t>
      </text>
    </comment>
    <comment ref="G50" authorId="0" shapeId="0">
      <text>
        <t>Loan: Webster, 25 Trailers (2019).
Formula: MAX(0, Opening - Principal)</t>
      </text>
    </comment>
    <comment ref="D51" authorId="0" shapeId="0">
      <text>
        <t>Links to: _Webster row 50 - Prior Closing Balance</t>
      </text>
    </comment>
    <comment ref="E51" authorId="0" shapeId="0">
      <text>
        <t>Loan: Webster, 25 Trailers (2019).
Formula: MAX(0, Opening * AnnualRate / 12)</t>
      </text>
    </comment>
    <comment ref="F51" authorId="0" shapeId="0">
      <text>
        <t>Loan: Webster, 25 Trailers (2019).
Formula: MAX(0, MIN(Opening, Payment - Interest))</t>
      </text>
    </comment>
    <comment ref="G51" authorId="0" shapeId="0">
      <text>
        <t>Loan: Webster, 25 Trailers (2019).
Formula: MAX(0, Opening - Principal)</t>
      </text>
    </comment>
    <comment ref="D52" authorId="0" shapeId="0">
      <text>
        <t>Links to: _Webster row 51 - Prior Closing Balance</t>
      </text>
    </comment>
    <comment ref="E52" authorId="0" shapeId="0">
      <text>
        <t>Loan: Webster, 25 Trailers (2019).
Formula: MAX(0, Opening * AnnualRate / 12)</t>
      </text>
    </comment>
    <comment ref="F52" authorId="0" shapeId="0">
      <text>
        <t>Loan: Webster, 25 Trailers (2019).
Formula: MAX(0, MIN(Opening, Payment - Interest))</t>
      </text>
    </comment>
    <comment ref="G52" authorId="0" shapeId="0">
      <text>
        <t>Loan: Webster, 25 Trailers (2019).
Formula: MAX(0, Opening - Principal)</t>
      </text>
    </comment>
    <comment ref="E53" authorId="0" shapeId="0">
      <text>
        <t>Sum of rows 38-52: Interest payments</t>
      </text>
    </comment>
    <comment ref="F53" authorId="0" shapeId="0">
      <text>
        <t>Sum of rows 38-52: Principal payments</t>
      </text>
    </comment>
    <comment ref="A56" authorId="0" shapeId="0">
      <text>
        <t>Loan: Webster Capital Finance, AMORTIZING.
Source: Meiborg_Debt_Schedule_202511.xlsx</t>
      </text>
    </comment>
    <comment ref="C57" authorId="0" shapeId="0">
      <text>
        <t>Source: loans.md - 3 Freightliner Daycabs (Sept 2021)
Extracted: 2025-11-30</t>
      </text>
    </comment>
    <comment ref="C58" authorId="0" shapeId="0">
      <text>
        <t>Source: loans.md - 3 Freightliner Daycabs (Sept 2021)
Extracted: 2025-11-30</t>
      </text>
    </comment>
    <comment ref="C59" authorId="0" shapeId="0">
      <text>
        <t>Source: loans.md - 3 Freightliner Daycabs (Sept 2021)
Extracted: 2025-11-30</t>
      </text>
    </comment>
    <comment ref="C60" authorId="0" shapeId="0">
      <text>
        <t>Source: loans.md - 3 Freightliner Daycabs (Sept 2021)
Extracted: 2025-11-30</t>
      </text>
    </comment>
    <comment ref="C61" authorId="0" shapeId="0">
      <text>
        <t>Source: loans.md - 3 Freightliner Daycabs (Sept 2021)
Extracted: 2025-11-30</t>
      </text>
    </comment>
    <comment ref="C62" authorId="0" shapeId="0">
      <text>
        <t>Source: loans.md - 3 Freightliner Daycabs (Sept 2021)
Extracted: 2025-11-30</t>
      </text>
    </comment>
    <comment ref="C63" authorId="0" shapeId="0">
      <text>
        <t>Source: loans.md - 3 Freightliner Daycabs (Sept 2021)
Extracted: 2025-11-30</t>
      </text>
    </comment>
    <comment ref="C64" authorId="0" shapeId="0">
      <text>
        <t>Source: loans.md - 3 Freightliner Daycabs (Sept 2021)
Extracted: 2025-11-30</t>
      </text>
    </comment>
    <comment ref="C65" authorId="0" shapeId="0">
      <text>
        <t>Source: loans.md - 3 Freightliner Daycabs (Sept 2021)
Extracted: 2025-11-30</t>
      </text>
    </comment>
    <comment ref="C66" authorId="0" shapeId="0">
      <text>
        <t>Source: loans.md - 3 Freightliner Daycabs (Sept 2021)
Extracted: 2025-11-30</t>
      </text>
    </comment>
    <comment ref="D69" authorId="0" shapeId="0">
      <text>
        <t>Source: loans.md - Remaining Balance
Extracted: 2025-11-30</t>
      </text>
    </comment>
    <comment ref="E69" authorId="0" shapeId="0">
      <text>
        <t>Loan: Webster, 3 Freightliner Daycabs (Sept 2021).
Formula: MAX(0, Opening * AnnualRate / 12)</t>
      </text>
    </comment>
    <comment ref="F69" authorId="0" shapeId="0">
      <text>
        <t>Loan: Webster, 3 Freightliner Daycabs (Sept 2021).
Formula: MAX(0, MIN(Opening, Payment - Interest))</t>
      </text>
    </comment>
    <comment ref="G69" authorId="0" shapeId="0">
      <text>
        <t>Loan: Webster, 3 Freightliner Daycabs (Sept 2021).
Formula: MAX(0, Opening - Principal)</t>
      </text>
    </comment>
    <comment ref="D70" authorId="0" shapeId="0">
      <text>
        <t>Links to: _Webster row 69 - Prior Closing Balance</t>
      </text>
    </comment>
    <comment ref="E70" authorId="0" shapeId="0">
      <text>
        <t>Loan: Webster, 3 Freightliner Daycabs (Sept 2021).
Formula: MAX(0, Opening * AnnualRate / 12)</t>
      </text>
    </comment>
    <comment ref="F70" authorId="0" shapeId="0">
      <text>
        <t>Loan: Webster, 3 Freightliner Daycabs (Sept 2021).
Formula: MAX(0, MIN(Opening, Payment - Interest))</t>
      </text>
    </comment>
    <comment ref="G70" authorId="0" shapeId="0">
      <text>
        <t>Loan: Webster, 3 Freightliner Daycabs (Sept 2021).
Formula: MAX(0, Opening - Principal)</t>
      </text>
    </comment>
    <comment ref="D71" authorId="0" shapeId="0">
      <text>
        <t>Links to: _Webster row 70 - Prior Closing Balance</t>
      </text>
    </comment>
    <comment ref="E71" authorId="0" shapeId="0">
      <text>
        <t>Loan: Webster, 3 Freightliner Daycabs (Sept 2021).
Formula: MAX(0, Opening * AnnualRate / 12)</t>
      </text>
    </comment>
    <comment ref="F71" authorId="0" shapeId="0">
      <text>
        <t>Loan: Webster, 3 Freightliner Daycabs (Sept 2021).
Formula: MAX(0, MIN(Opening, Payment - Interest))</t>
      </text>
    </comment>
    <comment ref="G71" authorId="0" shapeId="0">
      <text>
        <t>Loan: Webster, 3 Freightliner Daycabs (Sept 2021).
Formula: MAX(0, Opening - Principal)</t>
      </text>
    </comment>
    <comment ref="D72" authorId="0" shapeId="0">
      <text>
        <t>Links to: _Webster row 71 - Prior Closing Balance</t>
      </text>
    </comment>
    <comment ref="E72" authorId="0" shapeId="0">
      <text>
        <t>Loan: Webster, 3 Freightliner Daycabs (Sept 2021).
Formula: MAX(0, Opening * AnnualRate / 12)</t>
      </text>
    </comment>
    <comment ref="F72" authorId="0" shapeId="0">
      <text>
        <t>Loan: Webster, 3 Freightliner Daycabs (Sept 2021).
Formula: MAX(0, MIN(Opening, Payment - Interest))</t>
      </text>
    </comment>
    <comment ref="G72" authorId="0" shapeId="0">
      <text>
        <t>Loan: Webster, 3 Freightliner Daycabs (Sept 2021).
Formula: MAX(0, Opening - Principal)</t>
      </text>
    </comment>
    <comment ref="D73" authorId="0" shapeId="0">
      <text>
        <t>Links to: _Webster row 72 - Prior Closing Balance</t>
      </text>
    </comment>
    <comment ref="E73" authorId="0" shapeId="0">
      <text>
        <t>Loan: Webster, 3 Freightliner Daycabs (Sept 2021).
Formula: MAX(0, Opening * AnnualRate / 12)</t>
      </text>
    </comment>
    <comment ref="F73" authorId="0" shapeId="0">
      <text>
        <t>Loan: Webster, 3 Freightliner Daycabs (Sept 2021).
Formula: MAX(0, MIN(Opening, Payment - Interest))</t>
      </text>
    </comment>
    <comment ref="G73" authorId="0" shapeId="0">
      <text>
        <t>Loan: Webster, 3 Freightliner Daycabs (Sept 2021).
Formula: MAX(0, Opening - Principal)</t>
      </text>
    </comment>
    <comment ref="D74" authorId="0" shapeId="0">
      <text>
        <t>Links to: _Webster row 73 - Prior Closing Balance</t>
      </text>
    </comment>
    <comment ref="E74" authorId="0" shapeId="0">
      <text>
        <t>Loan: Webster, 3 Freightliner Daycabs (Sept 2021).
Formula: MAX(0, Opening * AnnualRate / 12)</t>
      </text>
    </comment>
    <comment ref="F74" authorId="0" shapeId="0">
      <text>
        <t>Loan: Webster, 3 Freightliner Daycabs (Sept 2021).
Formula: MAX(0, MIN(Opening, Payment - Interest))</t>
      </text>
    </comment>
    <comment ref="G74" authorId="0" shapeId="0">
      <text>
        <t>Loan: Webster, 3 Freightliner Daycabs (Sept 2021).
Formula: MAX(0, Opening - Principal)</t>
      </text>
    </comment>
    <comment ref="D75" authorId="0" shapeId="0">
      <text>
        <t>Links to: _Webster row 74 - Prior Closing Balance</t>
      </text>
    </comment>
    <comment ref="E75" authorId="0" shapeId="0">
      <text>
        <t>Loan: Webster, 3 Freightliner Daycabs (Sept 2021).
Formula: MAX(0, Opening * AnnualRate / 12)</t>
      </text>
    </comment>
    <comment ref="F75" authorId="0" shapeId="0">
      <text>
        <t>Loan: Webster, 3 Freightliner Daycabs (Sept 2021).
Formula: MAX(0, MIN(Opening, Payment - Interest))</t>
      </text>
    </comment>
    <comment ref="G75" authorId="0" shapeId="0">
      <text>
        <t>Loan: Webster, 3 Freightliner Daycabs (Sept 2021).
Formula: MAX(0, Opening - Principal)</t>
      </text>
    </comment>
    <comment ref="D76" authorId="0" shapeId="0">
      <text>
        <t>Links to: _Webster row 75 - Prior Closing Balance</t>
      </text>
    </comment>
    <comment ref="E76" authorId="0" shapeId="0">
      <text>
        <t>Loan: Webster, 3 Freightliner Daycabs (Sept 2021).
Formula: MAX(0, Opening * AnnualRate / 12)</t>
      </text>
    </comment>
    <comment ref="F76" authorId="0" shapeId="0">
      <text>
        <t>Loan: Webster, 3 Freightliner Daycabs (Sept 2021).
Formula: MAX(0, MIN(Opening, Payment - Interest))</t>
      </text>
    </comment>
    <comment ref="G76" authorId="0" shapeId="0">
      <text>
        <t>Loan: Webster, 3 Freightliner Daycabs (Sept 2021).
Formula: MAX(0, Opening - Principal)</t>
      </text>
    </comment>
    <comment ref="D77" authorId="0" shapeId="0">
      <text>
        <t>Links to: _Webster row 76 - Prior Closing Balance</t>
      </text>
    </comment>
    <comment ref="E77" authorId="0" shapeId="0">
      <text>
        <t>Loan: Webster, 3 Freightliner Daycabs (Sept 2021).
Formula: MAX(0, Opening * AnnualRate / 12)</t>
      </text>
    </comment>
    <comment ref="F77" authorId="0" shapeId="0">
      <text>
        <t>Loan: Webster, 3 Freightliner Daycabs (Sept 2021).
Formula: MAX(0, MIN(Opening, Payment - Interest))</t>
      </text>
    </comment>
    <comment ref="G77" authorId="0" shapeId="0">
      <text>
        <t>Loan: Webster, 3 Freightliner Daycabs (Sept 2021).
Formula: MAX(0, Opening - Principal)</t>
      </text>
    </comment>
    <comment ref="D78" authorId="0" shapeId="0">
      <text>
        <t>Links to: _Webster row 77 - Prior Closing Balance</t>
      </text>
    </comment>
    <comment ref="E78" authorId="0" shapeId="0">
      <text>
        <t>Loan: Webster, 3 Freightliner Daycabs (Sept 2021).
Formula: MAX(0, Opening * AnnualRate / 12)</t>
      </text>
    </comment>
    <comment ref="F78" authorId="0" shapeId="0">
      <text>
        <t>Loan: Webster, 3 Freightliner Daycabs (Sept 2021).
Formula: MAX(0, MIN(Opening, Payment - Interest))</t>
      </text>
    </comment>
    <comment ref="G78" authorId="0" shapeId="0">
      <text>
        <t>Loan: Webster, 3 Freightliner Daycabs (Sept 2021).
Formula: MAX(0, Opening - Principal)</t>
      </text>
    </comment>
    <comment ref="D79" authorId="0" shapeId="0">
      <text>
        <t>Links to: _Webster row 78 - Prior Closing Balance</t>
      </text>
    </comment>
    <comment ref="E79" authorId="0" shapeId="0">
      <text>
        <t>Loan: Webster, 3 Freightliner Daycabs (Sept 2021).
Formula: MAX(0, Opening * AnnualRate / 12)</t>
      </text>
    </comment>
    <comment ref="F79" authorId="0" shapeId="0">
      <text>
        <t>Loan: Webster, 3 Freightliner Daycabs (Sept 2021).
Formula: MAX(0, MIN(Opening, Payment - Interest))</t>
      </text>
    </comment>
    <comment ref="G79" authorId="0" shapeId="0">
      <text>
        <t>Loan: Webster, 3 Freightliner Daycabs (Sept 2021).
Formula: MAX(0, Opening - Principal)</t>
      </text>
    </comment>
    <comment ref="D80" authorId="0" shapeId="0">
      <text>
        <t>Links to: _Webster row 79 - Prior Closing Balance</t>
      </text>
    </comment>
    <comment ref="E80" authorId="0" shapeId="0">
      <text>
        <t>Loan: Webster, 3 Freightliner Daycabs (Sept 2021).
Formula: MAX(0, Opening * AnnualRate / 12)</t>
      </text>
    </comment>
    <comment ref="F80" authorId="0" shapeId="0">
      <text>
        <t>Loan: Webster, 3 Freightliner Daycabs (Sept 2021).
Formula: MAX(0, MIN(Opening, Payment - Interest))</t>
      </text>
    </comment>
    <comment ref="G80" authorId="0" shapeId="0">
      <text>
        <t>Loan: Webster, 3 Freightliner Daycabs (Sept 2021).
Formula: MAX(0, Opening - Principal)</t>
      </text>
    </comment>
    <comment ref="D81" authorId="0" shapeId="0">
      <text>
        <t>Links to: _Webster row 80 - Prior Closing Balance</t>
      </text>
    </comment>
    <comment ref="E81" authorId="0" shapeId="0">
      <text>
        <t>Loan: Webster, 3 Freightliner Daycabs (Sept 2021).
Formula: MAX(0, Opening * AnnualRate / 12)</t>
      </text>
    </comment>
    <comment ref="F81" authorId="0" shapeId="0">
      <text>
        <t>Loan: Webster, 3 Freightliner Daycabs (Sept 2021).
Formula: MAX(0, MIN(Opening, Payment - Interest))</t>
      </text>
    </comment>
    <comment ref="G81" authorId="0" shapeId="0">
      <text>
        <t>Loan: Webster, 3 Freightliner Daycabs (Sept 2021).
Formula: MAX(0, Opening - Principal)</t>
      </text>
    </comment>
    <comment ref="D82" authorId="0" shapeId="0">
      <text>
        <t>Links to: _Webster row 81 - Prior Closing Balance</t>
      </text>
    </comment>
    <comment ref="E82" authorId="0" shapeId="0">
      <text>
        <t>Loan: Webster, 3 Freightliner Daycabs (Sept 2021).
Formula: MAX(0, Opening * AnnualRate / 12)</t>
      </text>
    </comment>
    <comment ref="F82" authorId="0" shapeId="0">
      <text>
        <t>Loan: Webster, 3 Freightliner Daycabs (Sept 2021).
Formula: MAX(0, MIN(Opening, Payment - Interest))</t>
      </text>
    </comment>
    <comment ref="G82" authorId="0" shapeId="0">
      <text>
        <t>Loan: Webster, 3 Freightliner Daycabs (Sept 2021).
Formula: MAX(0, Opening - Principal)</t>
      </text>
    </comment>
    <comment ref="D83" authorId="0" shapeId="0">
      <text>
        <t>Links to: _Webster row 82 - Prior Closing Balance</t>
      </text>
    </comment>
    <comment ref="E83" authorId="0" shapeId="0">
      <text>
        <t>Loan: Webster, 3 Freightliner Daycabs (Sept 2021).
Formula: MAX(0, Opening * AnnualRate / 12)</t>
      </text>
    </comment>
    <comment ref="F83" authorId="0" shapeId="0">
      <text>
        <t>Loan: Webster, 3 Freightliner Daycabs (Sept 2021).
Formula: MAX(0, MIN(Opening, Payment - Interest))</t>
      </text>
    </comment>
    <comment ref="G83" authorId="0" shapeId="0">
      <text>
        <t>Loan: Webster, 3 Freightliner Daycabs (Sept 2021).
Formula: MAX(0, Opening - Principal)</t>
      </text>
    </comment>
    <comment ref="D84" authorId="0" shapeId="0">
      <text>
        <t>Links to: _Webster row 83 - Prior Closing Balance</t>
      </text>
    </comment>
    <comment ref="E84" authorId="0" shapeId="0">
      <text>
        <t>Loan: Webster, 3 Freightliner Daycabs (Sept 2021).
Formula: MAX(0, Opening * AnnualRate / 12)</t>
      </text>
    </comment>
    <comment ref="F84" authorId="0" shapeId="0">
      <text>
        <t>Loan: Webster, 3 Freightliner Daycabs (Sept 2021).
Formula: MAX(0, MIN(Opening, Payment - Interest))</t>
      </text>
    </comment>
    <comment ref="G84" authorId="0" shapeId="0">
      <text>
        <t>Loan: Webster, 3 Freightliner Daycabs (Sept 2021).
Formula: MAX(0, Opening - Principal)</t>
      </text>
    </comment>
    <comment ref="D85" authorId="0" shapeId="0">
      <text>
        <t>Links to: _Webster row 84 - Prior Closing Balance</t>
      </text>
    </comment>
    <comment ref="E85" authorId="0" shapeId="0">
      <text>
        <t>Loan: Webster, 3 Freightliner Daycabs (Sept 2021).
Formula: MAX(0, Opening * AnnualRate / 12)</t>
      </text>
    </comment>
    <comment ref="F85" authorId="0" shapeId="0">
      <text>
        <t>Loan: Webster, 3 Freightliner Daycabs (Sept 2021).
Formula: MAX(0, MIN(Opening, Payment - Interest))</t>
      </text>
    </comment>
    <comment ref="G85" authorId="0" shapeId="0">
      <text>
        <t>Loan: Webster, 3 Freightliner Daycabs (Sept 2021).
Formula: MAX(0, Opening - Principal)</t>
      </text>
    </comment>
    <comment ref="D86" authorId="0" shapeId="0">
      <text>
        <t>Links to: _Webster row 85 - Prior Closing Balance</t>
      </text>
    </comment>
    <comment ref="E86" authorId="0" shapeId="0">
      <text>
        <t>Loan: Webster, 3 Freightliner Daycabs (Sept 2021).
Formula: MAX(0, Opening * AnnualRate / 12)</t>
      </text>
    </comment>
    <comment ref="F86" authorId="0" shapeId="0">
      <text>
        <t>Loan: Webster, 3 Freightliner Daycabs (Sept 2021).
Formula: MAX(0, MIN(Opening, Payment - Interest))</t>
      </text>
    </comment>
    <comment ref="G86" authorId="0" shapeId="0">
      <text>
        <t>Loan: Webster, 3 Freightliner Daycabs (Sept 2021).
Formula: MAX(0, Opening - Principal)</t>
      </text>
    </comment>
    <comment ref="D87" authorId="0" shapeId="0">
      <text>
        <t>Links to: _Webster row 86 - Prior Closing Balance</t>
      </text>
    </comment>
    <comment ref="E87" authorId="0" shapeId="0">
      <text>
        <t>Loan: Webster, 3 Freightliner Daycabs (Sept 2021).
Formula: MAX(0, Opening * AnnualRate / 12)</t>
      </text>
    </comment>
    <comment ref="F87" authorId="0" shapeId="0">
      <text>
        <t>Loan: Webster, 3 Freightliner Daycabs (Sept 2021).
Formula: MAX(0, MIN(Opening, Payment - Interest))</t>
      </text>
    </comment>
    <comment ref="G87" authorId="0" shapeId="0">
      <text>
        <t>Loan: Webster, 3 Freightliner Daycabs (Sept 2021).
Formula: MAX(0, Opening - Principal)</t>
      </text>
    </comment>
    <comment ref="E88" authorId="0" shapeId="0">
      <text>
        <t>Sum of rows 69-87: Interest payments</t>
      </text>
    </comment>
    <comment ref="F88" authorId="0" shapeId="0">
      <text>
        <t>Sum of rows 69-87: Principal payments</t>
      </text>
    </comment>
    <comment ref="A91" authorId="0" shapeId="0">
      <text>
        <t>Loan: Webster Capital Finance, AMORTIZING.
Source: Meiborg_Debt_Schedule_202511.xlsx</t>
      </text>
    </comment>
    <comment ref="C92" authorId="0" shapeId="0">
      <text>
        <t>Source: loans.md - 25 Trailers (Oct 2021)
Extracted: 2025-11-30</t>
      </text>
    </comment>
    <comment ref="C93" authorId="0" shapeId="0">
      <text>
        <t>Source: loans.md - 25 Trailers (Oct 2021)
Extracted: 2025-11-30</t>
      </text>
    </comment>
    <comment ref="C94" authorId="0" shapeId="0">
      <text>
        <t>Source: loans.md - 25 Trailers (Oct 2021)
Extracted: 2025-11-30</t>
      </text>
    </comment>
    <comment ref="C95" authorId="0" shapeId="0">
      <text>
        <t>Source: loans.md - 25 Trailers (Oct 2021)
Extracted: 2025-11-30</t>
      </text>
    </comment>
    <comment ref="C96" authorId="0" shapeId="0">
      <text>
        <t>Source: loans.md - 25 Trailers (Oct 2021)
Extracted: 2025-11-30</t>
      </text>
    </comment>
    <comment ref="C97" authorId="0" shapeId="0">
      <text>
        <t>Source: loans.md - 25 Trailers (Oct 2021)
Extracted: 2025-11-30</t>
      </text>
    </comment>
    <comment ref="C98" authorId="0" shapeId="0">
      <text>
        <t>Source: loans.md - 25 Trailers (Oct 2021)
Extracted: 2025-11-30</t>
      </text>
    </comment>
    <comment ref="C99" authorId="0" shapeId="0">
      <text>
        <t>Source: loans.md - 25 Trailers (Oct 2021)
Extracted: 2025-11-30</t>
      </text>
    </comment>
    <comment ref="C100" authorId="0" shapeId="0">
      <text>
        <t>Source: loans.md - 25 Trailers (Oct 2021)
Extracted: 2025-11-30</t>
      </text>
    </comment>
    <comment ref="C101" authorId="0" shapeId="0">
      <text>
        <t>Source: loans.md - 25 Trailers (Oct 2021)
Extracted: 2025-11-30</t>
      </text>
    </comment>
    <comment ref="D104" authorId="0" shapeId="0">
      <text>
        <t>Source: loans.md - Remaining Balance
Extracted: 2025-11-30</t>
      </text>
    </comment>
    <comment ref="E104" authorId="0" shapeId="0">
      <text>
        <t>Loan: Webster, 25 Trailers (Oct 2021).
Formula: MAX(0, Opening * AnnualRate / 12)</t>
      </text>
    </comment>
    <comment ref="F104" authorId="0" shapeId="0">
      <text>
        <t>Loan: Webster, 25 Trailers (Oct 2021).
Formula: MAX(0, MIN(Opening, Payment - Interest))</t>
      </text>
    </comment>
    <comment ref="G104" authorId="0" shapeId="0">
      <text>
        <t>Loan: Webster, 25 Trailers (Oct 2021).
Formula: MAX(0, Opening - Principal)</t>
      </text>
    </comment>
    <comment ref="D105" authorId="0" shapeId="0">
      <text>
        <t>Links to: _Webster row 104 - Prior Closing Balance</t>
      </text>
    </comment>
    <comment ref="E105" authorId="0" shapeId="0">
      <text>
        <t>Loan: Webster, 25 Trailers (Oct 2021).
Formula: MAX(0, Opening * AnnualRate / 12)</t>
      </text>
    </comment>
    <comment ref="F105" authorId="0" shapeId="0">
      <text>
        <t>Loan: Webster, 25 Trailers (Oct 2021).
Formula: MAX(0, MIN(Opening, Payment - Interest))</t>
      </text>
    </comment>
    <comment ref="G105" authorId="0" shapeId="0">
      <text>
        <t>Loan: Webster, 25 Trailers (Oct 2021).
Formula: MAX(0, Opening - Principal)</t>
      </text>
    </comment>
    <comment ref="D106" authorId="0" shapeId="0">
      <text>
        <t>Links to: _Webster row 105 - Prior Closing Balance</t>
      </text>
    </comment>
    <comment ref="E106" authorId="0" shapeId="0">
      <text>
        <t>Loan: Webster, 25 Trailers (Oct 2021).
Formula: MAX(0, Opening * AnnualRate / 12)</t>
      </text>
    </comment>
    <comment ref="F106" authorId="0" shapeId="0">
      <text>
        <t>Loan: Webster, 25 Trailers (Oct 2021).
Formula: MAX(0, MIN(Opening, Payment - Interest))</t>
      </text>
    </comment>
    <comment ref="G106" authorId="0" shapeId="0">
      <text>
        <t>Loan: Webster, 25 Trailers (Oct 2021).
Formula: MAX(0, Opening - Principal)</t>
      </text>
    </comment>
    <comment ref="D107" authorId="0" shapeId="0">
      <text>
        <t>Links to: _Webster row 106 - Prior Closing Balance</t>
      </text>
    </comment>
    <comment ref="E107" authorId="0" shapeId="0">
      <text>
        <t>Loan: Webster, 25 Trailers (Oct 2021).
Formula: MAX(0, Opening * AnnualRate / 12)</t>
      </text>
    </comment>
    <comment ref="F107" authorId="0" shapeId="0">
      <text>
        <t>Loan: Webster, 25 Trailers (Oct 2021).
Formula: MAX(0, MIN(Opening, Payment - Interest))</t>
      </text>
    </comment>
    <comment ref="G107" authorId="0" shapeId="0">
      <text>
        <t>Loan: Webster, 25 Trailers (Oct 2021).
Formula: MAX(0, Opening - Principal)</t>
      </text>
    </comment>
    <comment ref="D108" authorId="0" shapeId="0">
      <text>
        <t>Links to: _Webster row 107 - Prior Closing Balance</t>
      </text>
    </comment>
    <comment ref="E108" authorId="0" shapeId="0">
      <text>
        <t>Loan: Webster, 25 Trailers (Oct 2021).
Formula: MAX(0, Opening * AnnualRate / 12)</t>
      </text>
    </comment>
    <comment ref="F108" authorId="0" shapeId="0">
      <text>
        <t>Loan: Webster, 25 Trailers (Oct 2021).
Formula: MAX(0, MIN(Opening, Payment - Interest))</t>
      </text>
    </comment>
    <comment ref="G108" authorId="0" shapeId="0">
      <text>
        <t>Loan: Webster, 25 Trailers (Oct 2021).
Formula: MAX(0, Opening - Principal)</t>
      </text>
    </comment>
    <comment ref="D109" authorId="0" shapeId="0">
      <text>
        <t>Links to: _Webster row 108 - Prior Closing Balance</t>
      </text>
    </comment>
    <comment ref="E109" authorId="0" shapeId="0">
      <text>
        <t>Loan: Webster, 25 Trailers (Oct 2021).
Formula: MAX(0, Opening * AnnualRate / 12)</t>
      </text>
    </comment>
    <comment ref="F109" authorId="0" shapeId="0">
      <text>
        <t>Loan: Webster, 25 Trailers (Oct 2021).
Formula: MAX(0, MIN(Opening, Payment - Interest))</t>
      </text>
    </comment>
    <comment ref="G109" authorId="0" shapeId="0">
      <text>
        <t>Loan: Webster, 25 Trailers (Oct 2021).
Formula: MAX(0, Opening - Principal)</t>
      </text>
    </comment>
    <comment ref="D110" authorId="0" shapeId="0">
      <text>
        <t>Links to: _Webster row 109 - Prior Closing Balance</t>
      </text>
    </comment>
    <comment ref="E110" authorId="0" shapeId="0">
      <text>
        <t>Loan: Webster, 25 Trailers (Oct 2021).
Formula: MAX(0, Opening * AnnualRate / 12)</t>
      </text>
    </comment>
    <comment ref="F110" authorId="0" shapeId="0">
      <text>
        <t>Loan: Webster, 25 Trailers (Oct 2021).
Formula: MAX(0, MIN(Opening, Payment - Interest))</t>
      </text>
    </comment>
    <comment ref="G110" authorId="0" shapeId="0">
      <text>
        <t>Loan: Webster, 25 Trailers (Oct 2021).
Formula: MAX(0, Opening - Principal)</t>
      </text>
    </comment>
    <comment ref="D111" authorId="0" shapeId="0">
      <text>
        <t>Links to: _Webster row 110 - Prior Closing Balance</t>
      </text>
    </comment>
    <comment ref="E111" authorId="0" shapeId="0">
      <text>
        <t>Loan: Webster, 25 Trailers (Oct 2021).
Formula: MAX(0, Opening * AnnualRate / 12)</t>
      </text>
    </comment>
    <comment ref="F111" authorId="0" shapeId="0">
      <text>
        <t>Loan: Webster, 25 Trailers (Oct 2021).
Formula: MAX(0, MIN(Opening, Payment - Interest))</t>
      </text>
    </comment>
    <comment ref="G111" authorId="0" shapeId="0">
      <text>
        <t>Loan: Webster, 25 Trailers (Oct 2021).
Formula: MAX(0, Opening - Principal)</t>
      </text>
    </comment>
    <comment ref="D112" authorId="0" shapeId="0">
      <text>
        <t>Links to: _Webster row 111 - Prior Closing Balance</t>
      </text>
    </comment>
    <comment ref="E112" authorId="0" shapeId="0">
      <text>
        <t>Loan: Webster, 25 Trailers (Oct 2021).
Formula: MAX(0, Opening * AnnualRate / 12)</t>
      </text>
    </comment>
    <comment ref="F112" authorId="0" shapeId="0">
      <text>
        <t>Loan: Webster, 25 Trailers (Oct 2021).
Formula: MAX(0, MIN(Opening, Payment - Interest))</t>
      </text>
    </comment>
    <comment ref="G112" authorId="0" shapeId="0">
      <text>
        <t>Loan: Webster, 25 Trailers (Oct 2021).
Formula: MAX(0, Opening - Principal)</t>
      </text>
    </comment>
    <comment ref="D113" authorId="0" shapeId="0">
      <text>
        <t>Links to: _Webster row 112 - Prior Closing Balance</t>
      </text>
    </comment>
    <comment ref="E113" authorId="0" shapeId="0">
      <text>
        <t>Loan: Webster, 25 Trailers (Oct 2021).
Formula: MAX(0, Opening * AnnualRate / 12)</t>
      </text>
    </comment>
    <comment ref="F113" authorId="0" shapeId="0">
      <text>
        <t>Loan: Webster, 25 Trailers (Oct 2021).
Formula: MAX(0, MIN(Opening, Payment - Interest))</t>
      </text>
    </comment>
    <comment ref="G113" authorId="0" shapeId="0">
      <text>
        <t>Loan: Webster, 25 Trailers (Oct 2021).
Formula: MAX(0, Opening - Principal)</t>
      </text>
    </comment>
    <comment ref="D114" authorId="0" shapeId="0">
      <text>
        <t>Links to: _Webster row 113 - Prior Closing Balance</t>
      </text>
    </comment>
    <comment ref="E114" authorId="0" shapeId="0">
      <text>
        <t>Loan: Webster, 25 Trailers (Oct 2021).
Formula: MAX(0, Opening * AnnualRate / 12)</t>
      </text>
    </comment>
    <comment ref="F114" authorId="0" shapeId="0">
      <text>
        <t>Loan: Webster, 25 Trailers (Oct 2021).
Formula: MAX(0, MIN(Opening, Payment - Interest))</t>
      </text>
    </comment>
    <comment ref="G114" authorId="0" shapeId="0">
      <text>
        <t>Loan: Webster, 25 Trailers (Oct 2021).
Formula: MAX(0, Opening - Principal)</t>
      </text>
    </comment>
    <comment ref="D115" authorId="0" shapeId="0">
      <text>
        <t>Links to: _Webster row 114 - Prior Closing Balance</t>
      </text>
    </comment>
    <comment ref="E115" authorId="0" shapeId="0">
      <text>
        <t>Loan: Webster, 25 Trailers (Oct 2021).
Formula: MAX(0, Opening * AnnualRate / 12)</t>
      </text>
    </comment>
    <comment ref="F115" authorId="0" shapeId="0">
      <text>
        <t>Loan: Webster, 25 Trailers (Oct 2021).
Formula: MAX(0, MIN(Opening, Payment - Interest))</t>
      </text>
    </comment>
    <comment ref="G115" authorId="0" shapeId="0">
      <text>
        <t>Loan: Webster, 25 Trailers (Oct 2021).
Formula: MAX(0, Opening - Principal)</t>
      </text>
    </comment>
    <comment ref="D116" authorId="0" shapeId="0">
      <text>
        <t>Links to: _Webster row 115 - Prior Closing Balance</t>
      </text>
    </comment>
    <comment ref="E116" authorId="0" shapeId="0">
      <text>
        <t>Loan: Webster, 25 Trailers (Oct 2021).
Formula: MAX(0, Opening * AnnualRate / 12)</t>
      </text>
    </comment>
    <comment ref="F116" authorId="0" shapeId="0">
      <text>
        <t>Loan: Webster, 25 Trailers (Oct 2021).
Formula: MAX(0, MIN(Opening, Payment - Interest))</t>
      </text>
    </comment>
    <comment ref="G116" authorId="0" shapeId="0">
      <text>
        <t>Loan: Webster, 25 Trailers (Oct 2021).
Formula: MAX(0, Opening - Principal)</t>
      </text>
    </comment>
    <comment ref="D117" authorId="0" shapeId="0">
      <text>
        <t>Links to: _Webster row 116 - Prior Closing Balance</t>
      </text>
    </comment>
    <comment ref="E117" authorId="0" shapeId="0">
      <text>
        <t>Loan: Webster, 25 Trailers (Oct 2021).
Formula: MAX(0, Opening * AnnualRate / 12)</t>
      </text>
    </comment>
    <comment ref="F117" authorId="0" shapeId="0">
      <text>
        <t>Loan: Webster, 25 Trailers (Oct 2021).
Formula: MAX(0, MIN(Opening, Payment - Interest))</t>
      </text>
    </comment>
    <comment ref="G117" authorId="0" shapeId="0">
      <text>
        <t>Loan: Webster, 25 Trailers (Oct 2021).
Formula: MAX(0, Opening - Principal)</t>
      </text>
    </comment>
    <comment ref="D118" authorId="0" shapeId="0">
      <text>
        <t>Links to: _Webster row 117 - Prior Closing Balance</t>
      </text>
    </comment>
    <comment ref="E118" authorId="0" shapeId="0">
      <text>
        <t>Loan: Webster, 25 Trailers (Oct 2021).
Formula: MAX(0, Opening * AnnualRate / 12)</t>
      </text>
    </comment>
    <comment ref="F118" authorId="0" shapeId="0">
      <text>
        <t>Loan: Webster, 25 Trailers (Oct 2021).
Formula: MAX(0, MIN(Opening, Payment - Interest))</t>
      </text>
    </comment>
    <comment ref="G118" authorId="0" shapeId="0">
      <text>
        <t>Loan: Webster, 25 Trailers (Oct 2021).
Formula: MAX(0, Opening - Principal)</t>
      </text>
    </comment>
    <comment ref="D119" authorId="0" shapeId="0">
      <text>
        <t>Links to: _Webster row 118 - Prior Closing Balance</t>
      </text>
    </comment>
    <comment ref="E119" authorId="0" shapeId="0">
      <text>
        <t>Loan: Webster, 25 Trailers (Oct 2021).
Formula: MAX(0, Opening * AnnualRate / 12)</t>
      </text>
    </comment>
    <comment ref="F119" authorId="0" shapeId="0">
      <text>
        <t>Loan: Webster, 25 Trailers (Oct 2021).
Formula: MAX(0, MIN(Opening, Payment - Interest))</t>
      </text>
    </comment>
    <comment ref="G119" authorId="0" shapeId="0">
      <text>
        <t>Loan: Webster, 25 Trailers (Oct 2021).
Formula: MAX(0, Opening - Principal)</t>
      </text>
    </comment>
    <comment ref="D120" authorId="0" shapeId="0">
      <text>
        <t>Links to: _Webster row 119 - Prior Closing Balance</t>
      </text>
    </comment>
    <comment ref="E120" authorId="0" shapeId="0">
      <text>
        <t>Loan: Webster, 25 Trailers (Oct 2021).
Formula: MAX(0, Opening * AnnualRate / 12)</t>
      </text>
    </comment>
    <comment ref="F120" authorId="0" shapeId="0">
      <text>
        <t>Loan: Webster, 25 Trailers (Oct 2021).
Formula: MAX(0, MIN(Opening, Payment - Interest))</t>
      </text>
    </comment>
    <comment ref="G120" authorId="0" shapeId="0">
      <text>
        <t>Loan: Webster, 25 Trailers (Oct 2021).
Formula: MAX(0, Opening - Principal)</t>
      </text>
    </comment>
    <comment ref="D121" authorId="0" shapeId="0">
      <text>
        <t>Links to: _Webster row 120 - Prior Closing Balance</t>
      </text>
    </comment>
    <comment ref="E121" authorId="0" shapeId="0">
      <text>
        <t>Loan: Webster, 25 Trailers (Oct 2021).
Formula: MAX(0, Opening * AnnualRate / 12)</t>
      </text>
    </comment>
    <comment ref="F121" authorId="0" shapeId="0">
      <text>
        <t>Loan: Webster, 25 Trailers (Oct 2021).
Formula: MAX(0, MIN(Opening, Payment - Interest))</t>
      </text>
    </comment>
    <comment ref="G121" authorId="0" shapeId="0">
      <text>
        <t>Loan: Webster, 25 Trailers (Oct 2021).
Formula: MAX(0, Opening - Principal)</t>
      </text>
    </comment>
    <comment ref="D122" authorId="0" shapeId="0">
      <text>
        <t>Links to: _Webster row 121 - Prior Closing Balance</t>
      </text>
    </comment>
    <comment ref="E122" authorId="0" shapeId="0">
      <text>
        <t>Loan: Webster, 25 Trailers (Oct 2021).
Formula: MAX(0, Opening * AnnualRate / 12)</t>
      </text>
    </comment>
    <comment ref="F122" authorId="0" shapeId="0">
      <text>
        <t>Loan: Webster, 25 Trailers (Oct 2021).
Formula: MAX(0, MIN(Opening, Payment - Interest))</t>
      </text>
    </comment>
    <comment ref="G122" authorId="0" shapeId="0">
      <text>
        <t>Loan: Webster, 25 Trailers (Oct 2021).
Formula: MAX(0, Opening - Principal)</t>
      </text>
    </comment>
    <comment ref="D123" authorId="0" shapeId="0">
      <text>
        <t>Links to: _Webster row 122 - Prior Closing Balance</t>
      </text>
    </comment>
    <comment ref="E123" authorId="0" shapeId="0">
      <text>
        <t>Loan: Webster, 25 Trailers (Oct 2021).
Formula: MAX(0, Opening * AnnualRate / 12)</t>
      </text>
    </comment>
    <comment ref="F123" authorId="0" shapeId="0">
      <text>
        <t>Loan: Webster, 25 Trailers (Oct 2021).
Formula: MAX(0, MIN(Opening, Payment - Interest))</t>
      </text>
    </comment>
    <comment ref="G123" authorId="0" shapeId="0">
      <text>
        <t>Loan: Webster, 25 Trailers (Oct 2021).
Formula: MAX(0, Opening - Principal)</t>
      </text>
    </comment>
    <comment ref="D124" authorId="0" shapeId="0">
      <text>
        <t>Links to: _Webster row 123 - Prior Closing Balance</t>
      </text>
    </comment>
    <comment ref="E124" authorId="0" shapeId="0">
      <text>
        <t>Loan: Webster, 25 Trailers (Oct 2021).
Formula: MAX(0, Opening * AnnualRate / 12)</t>
      </text>
    </comment>
    <comment ref="F124" authorId="0" shapeId="0">
      <text>
        <t>Loan: Webster, 25 Trailers (Oct 2021).
Formula: MAX(0, MIN(Opening, Payment - Interest))</t>
      </text>
    </comment>
    <comment ref="G124" authorId="0" shapeId="0">
      <text>
        <t>Loan: Webster, 25 Trailers (Oct 2021).
Formula: MAX(0, Opening - Principal)</t>
      </text>
    </comment>
    <comment ref="D125" authorId="0" shapeId="0">
      <text>
        <t>Links to: _Webster row 124 - Prior Closing Balance</t>
      </text>
    </comment>
    <comment ref="E125" authorId="0" shapeId="0">
      <text>
        <t>Loan: Webster, 25 Trailers (Oct 2021).
Formula: MAX(0, Opening * AnnualRate / 12)</t>
      </text>
    </comment>
    <comment ref="F125" authorId="0" shapeId="0">
      <text>
        <t>Loan: Webster, 25 Trailers (Oct 2021).
Formula: MAX(0, MIN(Opening, Payment - Interest))</t>
      </text>
    </comment>
    <comment ref="G125" authorId="0" shapeId="0">
      <text>
        <t>Loan: Webster, 25 Trailers (Oct 2021).
Formula: MAX(0, Opening - Principal)</t>
      </text>
    </comment>
    <comment ref="D126" authorId="0" shapeId="0">
      <text>
        <t>Links to: _Webster row 125 - Prior Closing Balance</t>
      </text>
    </comment>
    <comment ref="E126" authorId="0" shapeId="0">
      <text>
        <t>Loan: Webster, 25 Trailers (Oct 2021).
Formula: MAX(0, Opening * AnnualRate / 12)</t>
      </text>
    </comment>
    <comment ref="F126" authorId="0" shapeId="0">
      <text>
        <t>Loan: Webster, 25 Trailers (Oct 2021).
Formula: MAX(0, MIN(Opening, Payment - Interest))</t>
      </text>
    </comment>
    <comment ref="G126" authorId="0" shapeId="0">
      <text>
        <t>Loan: Webster, 25 Trailers (Oct 2021).
Formula: MAX(0, Opening - Principal)</t>
      </text>
    </comment>
    <comment ref="D127" authorId="0" shapeId="0">
      <text>
        <t>Links to: _Webster row 126 - Prior Closing Balance</t>
      </text>
    </comment>
    <comment ref="E127" authorId="0" shapeId="0">
      <text>
        <t>Loan: Webster, 25 Trailers (Oct 2021).
Formula: MAX(0, Opening * AnnualRate / 12)</t>
      </text>
    </comment>
    <comment ref="F127" authorId="0" shapeId="0">
      <text>
        <t>Loan: Webster, 25 Trailers (Oct 2021).
Formula: MAX(0, MIN(Opening, Payment - Interest))</t>
      </text>
    </comment>
    <comment ref="G127" authorId="0" shapeId="0">
      <text>
        <t>Loan: Webster, 25 Trailers (Oct 2021).
Formula: MAX(0, Opening - Principal)</t>
      </text>
    </comment>
    <comment ref="D128" authorId="0" shapeId="0">
      <text>
        <t>Links to: _Webster row 127 - Prior Closing Balance</t>
      </text>
    </comment>
    <comment ref="E128" authorId="0" shapeId="0">
      <text>
        <t>Loan: Webster, 25 Trailers (Oct 2021).
Formula: MAX(0, Opening * AnnualRate / 12)</t>
      </text>
    </comment>
    <comment ref="F128" authorId="0" shapeId="0">
      <text>
        <t>Loan: Webster, 25 Trailers (Oct 2021).
Formula: MAX(0, MIN(Opening, Payment - Interest))</t>
      </text>
    </comment>
    <comment ref="G128" authorId="0" shapeId="0">
      <text>
        <t>Loan: Webster, 25 Trailers (Oct 2021).
Formula: MAX(0, Opening - Principal)</t>
      </text>
    </comment>
    <comment ref="D129" authorId="0" shapeId="0">
      <text>
        <t>Links to: _Webster row 128 - Prior Closing Balance</t>
      </text>
    </comment>
    <comment ref="E129" authorId="0" shapeId="0">
      <text>
        <t>Loan: Webster, 25 Trailers (Oct 2021).
Formula: MAX(0, Opening * AnnualRate / 12)</t>
      </text>
    </comment>
    <comment ref="F129" authorId="0" shapeId="0">
      <text>
        <t>Loan: Webster, 25 Trailers (Oct 2021).
Formula: MAX(0, MIN(Opening, Payment - Interest))</t>
      </text>
    </comment>
    <comment ref="G129" authorId="0" shapeId="0">
      <text>
        <t>Loan: Webster, 25 Trailers (Oct 2021).
Formula: MAX(0, Opening - Principal)</t>
      </text>
    </comment>
    <comment ref="D130" authorId="0" shapeId="0">
      <text>
        <t>Links to: _Webster row 129 - Prior Closing Balance</t>
      </text>
    </comment>
    <comment ref="E130" authorId="0" shapeId="0">
      <text>
        <t>Loan: Webster, 25 Trailers (Oct 2021).
Formula: MAX(0, Opening * AnnualRate / 12)</t>
      </text>
    </comment>
    <comment ref="F130" authorId="0" shapeId="0">
      <text>
        <t>Loan: Webster, 25 Trailers (Oct 2021).
Formula: MAX(0, MIN(Opening, Payment - Interest))</t>
      </text>
    </comment>
    <comment ref="G130" authorId="0" shapeId="0">
      <text>
        <t>Loan: Webster, 25 Trailers (Oct 2021).
Formula: MAX(0, Opening - Principal)</t>
      </text>
    </comment>
    <comment ref="D131" authorId="0" shapeId="0">
      <text>
        <t>Links to: _Webster row 130 - Prior Closing Balance</t>
      </text>
    </comment>
    <comment ref="E131" authorId="0" shapeId="0">
      <text>
        <t>Loan: Webster, 25 Trailers (Oct 2021).
Formula: MAX(0, Opening * AnnualRate / 12)</t>
      </text>
    </comment>
    <comment ref="F131" authorId="0" shapeId="0">
      <text>
        <t>Loan: Webster, 25 Trailers (Oct 2021).
Formula: MAX(0, MIN(Opening, Payment - Interest))</t>
      </text>
    </comment>
    <comment ref="G131" authorId="0" shapeId="0">
      <text>
        <t>Loan: Webster, 25 Trailers (Oct 2021).
Formula: MAX(0, Opening - Principal)</t>
      </text>
    </comment>
    <comment ref="D132" authorId="0" shapeId="0">
      <text>
        <t>Links to: _Webster row 131 - Prior Closing Balance</t>
      </text>
    </comment>
    <comment ref="E132" authorId="0" shapeId="0">
      <text>
        <t>Loan: Webster, 25 Trailers (Oct 2021).
Formula: MAX(0, Opening * AnnualRate / 12)</t>
      </text>
    </comment>
    <comment ref="F132" authorId="0" shapeId="0">
      <text>
        <t>Loan: Webster, 25 Trailers (Oct 2021).
Formula: MAX(0, MIN(Opening, Payment - Interest))</t>
      </text>
    </comment>
    <comment ref="G132" authorId="0" shapeId="0">
      <text>
        <t>Loan: Webster, 25 Trailers (Oct 2021).
Formula: MAX(0, Opening - Principal)</t>
      </text>
    </comment>
    <comment ref="D133" authorId="0" shapeId="0">
      <text>
        <t>Links to: _Webster row 132 - Prior Closing Balance</t>
      </text>
    </comment>
    <comment ref="E133" authorId="0" shapeId="0">
      <text>
        <t>Loan: Webster, 25 Trailers (Oct 2021).
Formula: MAX(0, Opening * AnnualRate / 12)</t>
      </text>
    </comment>
    <comment ref="F133" authorId="0" shapeId="0">
      <text>
        <t>Loan: Webster, 25 Trailers (Oct 2021).
Formula: MAX(0, MIN(Opening, Payment - Interest))</t>
      </text>
    </comment>
    <comment ref="G133" authorId="0" shapeId="0">
      <text>
        <t>Loan: Webster, 25 Trailers (Oct 2021).
Formula: MAX(0, Opening - Principal)</t>
      </text>
    </comment>
    <comment ref="D134" authorId="0" shapeId="0">
      <text>
        <t>Links to: _Webster row 133 - Prior Closing Balance</t>
      </text>
    </comment>
    <comment ref="E134" authorId="0" shapeId="0">
      <text>
        <t>Loan: Webster, 25 Trailers (Oct 2021).
Formula: MAX(0, Opening * AnnualRate / 12)</t>
      </text>
    </comment>
    <comment ref="F134" authorId="0" shapeId="0">
      <text>
        <t>Loan: Webster, 25 Trailers (Oct 2021).
Formula: MAX(0, MIN(Opening, Payment - Interest))</t>
      </text>
    </comment>
    <comment ref="G134" authorId="0" shapeId="0">
      <text>
        <t>Loan: Webster, 25 Trailers (Oct 2021).
Formula: MAX(0, Opening - Principal)</t>
      </text>
    </comment>
    <comment ref="D135" authorId="0" shapeId="0">
      <text>
        <t>Links to: _Webster row 134 - Prior Closing Balance</t>
      </text>
    </comment>
    <comment ref="E135" authorId="0" shapeId="0">
      <text>
        <t>Loan: Webster, 25 Trailers (Oct 2021).
Formula: MAX(0, Opening * AnnualRate / 12)</t>
      </text>
    </comment>
    <comment ref="F135" authorId="0" shapeId="0">
      <text>
        <t>Loan: Webster, 25 Trailers (Oct 2021).
Formula: MAX(0, MIN(Opening, Payment - Interest))</t>
      </text>
    </comment>
    <comment ref="G135" authorId="0" shapeId="0">
      <text>
        <t>Loan: Webster, 25 Trailers (Oct 2021).
Formula: MAX(0, Opening - Principal)</t>
      </text>
    </comment>
    <comment ref="D136" authorId="0" shapeId="0">
      <text>
        <t>Links to: _Webster row 135 - Prior Closing Balance</t>
      </text>
    </comment>
    <comment ref="E136" authorId="0" shapeId="0">
      <text>
        <t>Loan: Webster, 25 Trailers (Oct 2021).
Formula: MAX(0, Opening * AnnualRate / 12)</t>
      </text>
    </comment>
    <comment ref="F136" authorId="0" shapeId="0">
      <text>
        <t>Loan: Webster, 25 Trailers (Oct 2021).
Formula: MAX(0, MIN(Opening, Payment - Interest))</t>
      </text>
    </comment>
    <comment ref="G136" authorId="0" shapeId="0">
      <text>
        <t>Loan: Webster, 25 Trailers (Oct 2021).
Formula: MAX(0, Opening - Principal)</t>
      </text>
    </comment>
    <comment ref="D137" authorId="0" shapeId="0">
      <text>
        <t>Links to: _Webster row 136 - Prior Closing Balance</t>
      </text>
    </comment>
    <comment ref="E137" authorId="0" shapeId="0">
      <text>
        <t>Loan: Webster, 25 Trailers (Oct 2021).
Formula: MAX(0, Opening * AnnualRate / 12)</t>
      </text>
    </comment>
    <comment ref="F137" authorId="0" shapeId="0">
      <text>
        <t>Loan: Webster, 25 Trailers (Oct 2021).
Formula: MAX(0, MIN(Opening, Payment - Interest))</t>
      </text>
    </comment>
    <comment ref="G137" authorId="0" shapeId="0">
      <text>
        <t>Loan: Webster, 25 Trailers (Oct 2021).
Formula: MAX(0, Opening - Principal)</t>
      </text>
    </comment>
    <comment ref="D138" authorId="0" shapeId="0">
      <text>
        <t>Links to: _Webster row 137 - Prior Closing Balance</t>
      </text>
    </comment>
    <comment ref="E138" authorId="0" shapeId="0">
      <text>
        <t>Loan: Webster, 25 Trailers (Oct 2021).
Formula: MAX(0, Opening * AnnualRate / 12)</t>
      </text>
    </comment>
    <comment ref="F138" authorId="0" shapeId="0">
      <text>
        <t>Loan: Webster, 25 Trailers (Oct 2021).
Formula: MAX(0, MIN(Opening, Payment - Interest))</t>
      </text>
    </comment>
    <comment ref="G138" authorId="0" shapeId="0">
      <text>
        <t>Loan: Webster, 25 Trailers (Oct 2021).
Formula: MAX(0, Opening - Principal)</t>
      </text>
    </comment>
    <comment ref="D139" authorId="0" shapeId="0">
      <text>
        <t>Links to: _Webster row 138 - Prior Closing Balance</t>
      </text>
    </comment>
    <comment ref="E139" authorId="0" shapeId="0">
      <text>
        <t>Loan: Webster, 25 Trailers (Oct 2021).
Formula: MAX(0, Opening * AnnualRate / 12)</t>
      </text>
    </comment>
    <comment ref="F139" authorId="0" shapeId="0">
      <text>
        <t>Loan: Webster, 25 Trailers (Oct 2021).
Formula: MAX(0, MIN(Opening, Payment - Interest))</t>
      </text>
    </comment>
    <comment ref="G139" authorId="0" shapeId="0">
      <text>
        <t>Loan: Webster, 25 Trailers (Oct 2021).
Formula: MAX(0, Opening - Principal)</t>
      </text>
    </comment>
    <comment ref="D140" authorId="0" shapeId="0">
      <text>
        <t>Links to: _Webster row 139 - Prior Closing Balance</t>
      </text>
    </comment>
    <comment ref="E140" authorId="0" shapeId="0">
      <text>
        <t>Loan: Webster, 25 Trailers (Oct 2021).
Formula: MAX(0, Opening * AnnualRate / 12)</t>
      </text>
    </comment>
    <comment ref="F140" authorId="0" shapeId="0">
      <text>
        <t>Loan: Webster, 25 Trailers (Oct 2021).
Formula: MAX(0, MIN(Opening, Payment - Interest))</t>
      </text>
    </comment>
    <comment ref="G140" authorId="0" shapeId="0">
      <text>
        <t>Loan: Webster, 25 Trailers (Oct 2021).
Formula: MAX(0, Opening - Principal)</t>
      </text>
    </comment>
    <comment ref="D141" authorId="0" shapeId="0">
      <text>
        <t>Links to: _Webster row 140 - Prior Closing Balance</t>
      </text>
    </comment>
    <comment ref="E141" authorId="0" shapeId="0">
      <text>
        <t>Loan: Webster, 25 Trailers (Oct 2021).
Formula: MAX(0, Opening * AnnualRate / 12)</t>
      </text>
    </comment>
    <comment ref="F141" authorId="0" shapeId="0">
      <text>
        <t>Loan: Webster, 25 Trailers (Oct 2021).
Formula: MAX(0, MIN(Opening, Payment - Interest))</t>
      </text>
    </comment>
    <comment ref="G141" authorId="0" shapeId="0">
      <text>
        <t>Loan: Webster, 25 Trailers (Oct 2021).
Formula: MAX(0, Opening - Principal)</t>
      </text>
    </comment>
    <comment ref="D142" authorId="0" shapeId="0">
      <text>
        <t>Links to: _Webster row 141 - Prior Closing Balance</t>
      </text>
    </comment>
    <comment ref="E142" authorId="0" shapeId="0">
      <text>
        <t>Loan: Webster, 25 Trailers (Oct 2021).
Formula: MAX(0, Opening * AnnualRate / 12)</t>
      </text>
    </comment>
    <comment ref="F142" authorId="0" shapeId="0">
      <text>
        <t>Loan: Webster, 25 Trailers (Oct 2021).
Formula: MAX(0, MIN(Opening, Payment - Interest))</t>
      </text>
    </comment>
    <comment ref="G142" authorId="0" shapeId="0">
      <text>
        <t>Loan: Webster, 25 Trailers (Oct 2021).
Formula: MAX(0, Opening - Principal)</t>
      </text>
    </comment>
    <comment ref="E143" authorId="0" shapeId="0">
      <text>
        <t>Sum of rows 104-142: Interest payments</t>
      </text>
    </comment>
    <comment ref="F143" authorId="0" shapeId="0">
      <text>
        <t>Sum of rows 104-142: Principal payments</t>
      </text>
    </comment>
    <comment ref="A146" authorId="0" shapeId="0">
      <text>
        <t>Loan: Webster Capital Finance, AMORTIZING.
Source: Meiborg_Debt_Schedule_202511.xlsx</t>
      </text>
    </comment>
    <comment ref="C147" authorId="0" shapeId="0">
      <text>
        <t>Source: loans.md - 30 Trailers (June 2022)
Extracted: 2025-11-30</t>
      </text>
    </comment>
    <comment ref="C148" authorId="0" shapeId="0">
      <text>
        <t>Source: loans.md - 30 Trailers (June 2022)
Extracted: 2025-11-30</t>
      </text>
    </comment>
    <comment ref="C149" authorId="0" shapeId="0">
      <text>
        <t>Source: loans.md - 30 Trailers (June 2022)
Extracted: 2025-11-30</t>
      </text>
    </comment>
    <comment ref="C150" authorId="0" shapeId="0">
      <text>
        <t>Source: loans.md - 30 Trailers (June 2022)
Extracted: 2025-11-30</t>
      </text>
    </comment>
    <comment ref="C151" authorId="0" shapeId="0">
      <text>
        <t>Source: loans.md - 30 Trailers (June 2022)
Extracted: 2025-11-30</t>
      </text>
    </comment>
    <comment ref="C152" authorId="0" shapeId="0">
      <text>
        <t>Source: loans.md - 30 Trailers (June 2022)
Extracted: 2025-11-30</t>
      </text>
    </comment>
    <comment ref="C153" authorId="0" shapeId="0">
      <text>
        <t>Source: loans.md - 30 Trailers (June 2022)
Extracted: 2025-11-30</t>
      </text>
    </comment>
    <comment ref="C154" authorId="0" shapeId="0">
      <text>
        <t>Source: loans.md - 30 Trailers (June 2022)
Extracted: 2025-11-30</t>
      </text>
    </comment>
    <comment ref="C155" authorId="0" shapeId="0">
      <text>
        <t>Source: loans.md - 30 Trailers (June 2022)
Extracted: 2025-11-30</t>
      </text>
    </comment>
    <comment ref="C156" authorId="0" shapeId="0">
      <text>
        <t>Source: loans.md - 30 Trailers (June 2022)
Extracted: 2025-11-30</t>
      </text>
    </comment>
    <comment ref="D159" authorId="0" shapeId="0">
      <text>
        <t>Source: loans.md - Remaining Balance
Extracted: 2025-11-30</t>
      </text>
    </comment>
    <comment ref="E159" authorId="0" shapeId="0">
      <text>
        <t>Loan: Webster, 30 Trailers (June 2022).
Formula: MAX(0, Opening * AnnualRate / 12)</t>
      </text>
    </comment>
    <comment ref="F159" authorId="0" shapeId="0">
      <text>
        <t>Loan: Webster, 30 Trailers (June 2022).
Formula: MAX(0, MIN(Opening, Payment - Interest))</t>
      </text>
    </comment>
    <comment ref="G159" authorId="0" shapeId="0">
      <text>
        <t>Loan: Webster, 30 Trailers (June 2022).
Formula: MAX(0, Opening - Principal)</t>
      </text>
    </comment>
    <comment ref="D160" authorId="0" shapeId="0">
      <text>
        <t>Links to: _Webster row 159 - Prior Closing Balance</t>
      </text>
    </comment>
    <comment ref="E160" authorId="0" shapeId="0">
      <text>
        <t>Loan: Webster, 30 Trailers (June 2022).
Formula: MAX(0, Opening * AnnualRate / 12)</t>
      </text>
    </comment>
    <comment ref="F160" authorId="0" shapeId="0">
      <text>
        <t>Loan: Webster, 30 Trailers (June 2022).
Formula: MAX(0, MIN(Opening, Payment - Interest))</t>
      </text>
    </comment>
    <comment ref="G160" authorId="0" shapeId="0">
      <text>
        <t>Loan: Webster, 30 Trailers (June 2022).
Formula: MAX(0, Opening - Principal)</t>
      </text>
    </comment>
    <comment ref="D161" authorId="0" shapeId="0">
      <text>
        <t>Links to: _Webster row 160 - Prior Closing Balance</t>
      </text>
    </comment>
    <comment ref="E161" authorId="0" shapeId="0">
      <text>
        <t>Loan: Webster, 30 Trailers (June 2022).
Formula: MAX(0, Opening * AnnualRate / 12)</t>
      </text>
    </comment>
    <comment ref="F161" authorId="0" shapeId="0">
      <text>
        <t>Loan: Webster, 30 Trailers (June 2022).
Formula: MAX(0, MIN(Opening, Payment - Interest))</t>
      </text>
    </comment>
    <comment ref="G161" authorId="0" shapeId="0">
      <text>
        <t>Loan: Webster, 30 Trailers (June 2022).
Formula: MAX(0, Opening - Principal)</t>
      </text>
    </comment>
    <comment ref="D162" authorId="0" shapeId="0">
      <text>
        <t>Links to: _Webster row 161 - Prior Closing Balance</t>
      </text>
    </comment>
    <comment ref="E162" authorId="0" shapeId="0">
      <text>
        <t>Loan: Webster, 30 Trailers (June 2022).
Formula: MAX(0, Opening * AnnualRate / 12)</t>
      </text>
    </comment>
    <comment ref="F162" authorId="0" shapeId="0">
      <text>
        <t>Loan: Webster, 30 Trailers (June 2022).
Formula: MAX(0, MIN(Opening, Payment - Interest))</t>
      </text>
    </comment>
    <comment ref="G162" authorId="0" shapeId="0">
      <text>
        <t>Loan: Webster, 30 Trailers (June 2022).
Formula: MAX(0, Opening - Principal)</t>
      </text>
    </comment>
    <comment ref="D163" authorId="0" shapeId="0">
      <text>
        <t>Links to: _Webster row 162 - Prior Closing Balance</t>
      </text>
    </comment>
    <comment ref="E163" authorId="0" shapeId="0">
      <text>
        <t>Loan: Webster, 30 Trailers (June 2022).
Formula: MAX(0, Opening * AnnualRate / 12)</t>
      </text>
    </comment>
    <comment ref="F163" authorId="0" shapeId="0">
      <text>
        <t>Loan: Webster, 30 Trailers (June 2022).
Formula: MAX(0, MIN(Opening, Payment - Interest))</t>
      </text>
    </comment>
    <comment ref="G163" authorId="0" shapeId="0">
      <text>
        <t>Loan: Webster, 30 Trailers (June 2022).
Formula: MAX(0, Opening - Principal)</t>
      </text>
    </comment>
    <comment ref="D164" authorId="0" shapeId="0">
      <text>
        <t>Links to: _Webster row 163 - Prior Closing Balance</t>
      </text>
    </comment>
    <comment ref="E164" authorId="0" shapeId="0">
      <text>
        <t>Loan: Webster, 30 Trailers (June 2022).
Formula: MAX(0, Opening * AnnualRate / 12)</t>
      </text>
    </comment>
    <comment ref="F164" authorId="0" shapeId="0">
      <text>
        <t>Loan: Webster, 30 Trailers (June 2022).
Formula: MAX(0, MIN(Opening, Payment - Interest))</t>
      </text>
    </comment>
    <comment ref="G164" authorId="0" shapeId="0">
      <text>
        <t>Loan: Webster, 30 Trailers (June 2022).
Formula: MAX(0, Opening - Principal)</t>
      </text>
    </comment>
    <comment ref="D165" authorId="0" shapeId="0">
      <text>
        <t>Links to: _Webster row 164 - Prior Closing Balance</t>
      </text>
    </comment>
    <comment ref="E165" authorId="0" shapeId="0">
      <text>
        <t>Loan: Webster, 30 Trailers (June 2022).
Formula: MAX(0, Opening * AnnualRate / 12)</t>
      </text>
    </comment>
    <comment ref="F165" authorId="0" shapeId="0">
      <text>
        <t>Loan: Webster, 30 Trailers (June 2022).
Formula: MAX(0, MIN(Opening, Payment - Interest))</t>
      </text>
    </comment>
    <comment ref="G165" authorId="0" shapeId="0">
      <text>
        <t>Loan: Webster, 30 Trailers (June 2022).
Formula: MAX(0, Opening - Principal)</t>
      </text>
    </comment>
    <comment ref="D166" authorId="0" shapeId="0">
      <text>
        <t>Links to: _Webster row 165 - Prior Closing Balance</t>
      </text>
    </comment>
    <comment ref="E166" authorId="0" shapeId="0">
      <text>
        <t>Loan: Webster, 30 Trailers (June 2022).
Formula: MAX(0, Opening * AnnualRate / 12)</t>
      </text>
    </comment>
    <comment ref="F166" authorId="0" shapeId="0">
      <text>
        <t>Loan: Webster, 30 Trailers (June 2022).
Formula: MAX(0, MIN(Opening, Payment - Interest))</t>
      </text>
    </comment>
    <comment ref="G166" authorId="0" shapeId="0">
      <text>
        <t>Loan: Webster, 30 Trailers (June 2022).
Formula: MAX(0, Opening - Principal)</t>
      </text>
    </comment>
    <comment ref="D167" authorId="0" shapeId="0">
      <text>
        <t>Links to: _Webster row 166 - Prior Closing Balance</t>
      </text>
    </comment>
    <comment ref="E167" authorId="0" shapeId="0">
      <text>
        <t>Loan: Webster, 30 Trailers (June 2022).
Formula: MAX(0, Opening * AnnualRate / 12)</t>
      </text>
    </comment>
    <comment ref="F167" authorId="0" shapeId="0">
      <text>
        <t>Loan: Webster, 30 Trailers (June 2022).
Formula: MAX(0, MIN(Opening, Payment - Interest))</t>
      </text>
    </comment>
    <comment ref="G167" authorId="0" shapeId="0">
      <text>
        <t>Loan: Webster, 30 Trailers (June 2022).
Formula: MAX(0, Opening - Principal)</t>
      </text>
    </comment>
    <comment ref="D168" authorId="0" shapeId="0">
      <text>
        <t>Links to: _Webster row 167 - Prior Closing Balance</t>
      </text>
    </comment>
    <comment ref="E168" authorId="0" shapeId="0">
      <text>
        <t>Loan: Webster, 30 Trailers (June 2022).
Formula: MAX(0, Opening * AnnualRate / 12)</t>
      </text>
    </comment>
    <comment ref="F168" authorId="0" shapeId="0">
      <text>
        <t>Loan: Webster, 30 Trailers (June 2022).
Formula: MAX(0, MIN(Opening, Payment - Interest))</t>
      </text>
    </comment>
    <comment ref="G168" authorId="0" shapeId="0">
      <text>
        <t>Loan: Webster, 30 Trailers (June 2022).
Formula: MAX(0, Opening - Principal)</t>
      </text>
    </comment>
    <comment ref="D169" authorId="0" shapeId="0">
      <text>
        <t>Links to: _Webster row 168 - Prior Closing Balance</t>
      </text>
    </comment>
    <comment ref="E169" authorId="0" shapeId="0">
      <text>
        <t>Loan: Webster, 30 Trailers (June 2022).
Formula: MAX(0, Opening * AnnualRate / 12)</t>
      </text>
    </comment>
    <comment ref="F169" authorId="0" shapeId="0">
      <text>
        <t>Loan: Webster, 30 Trailers (June 2022).
Formula: MAX(0, MIN(Opening, Payment - Interest))</t>
      </text>
    </comment>
    <comment ref="G169" authorId="0" shapeId="0">
      <text>
        <t>Loan: Webster, 30 Trailers (June 2022).
Formula: MAX(0, Opening - Principal)</t>
      </text>
    </comment>
    <comment ref="D170" authorId="0" shapeId="0">
      <text>
        <t>Links to: _Webster row 169 - Prior Closing Balance</t>
      </text>
    </comment>
    <comment ref="E170" authorId="0" shapeId="0">
      <text>
        <t>Loan: Webster, 30 Trailers (June 2022).
Formula: MAX(0, Opening * AnnualRate / 12)</t>
      </text>
    </comment>
    <comment ref="F170" authorId="0" shapeId="0">
      <text>
        <t>Loan: Webster, 30 Trailers (June 2022).
Formula: MAX(0, MIN(Opening, Payment - Interest))</t>
      </text>
    </comment>
    <comment ref="G170" authorId="0" shapeId="0">
      <text>
        <t>Loan: Webster, 30 Trailers (June 2022).
Formula: MAX(0, Opening - Principal)</t>
      </text>
    </comment>
    <comment ref="D171" authorId="0" shapeId="0">
      <text>
        <t>Links to: _Webster row 170 - Prior Closing Balance</t>
      </text>
    </comment>
    <comment ref="E171" authorId="0" shapeId="0">
      <text>
        <t>Loan: Webster, 30 Trailers (June 2022).
Formula: MAX(0, Opening * AnnualRate / 12)</t>
      </text>
    </comment>
    <comment ref="F171" authorId="0" shapeId="0">
      <text>
        <t>Loan: Webster, 30 Trailers (June 2022).
Formula: MAX(0, MIN(Opening, Payment - Interest))</t>
      </text>
    </comment>
    <comment ref="G171" authorId="0" shapeId="0">
      <text>
        <t>Loan: Webster, 30 Trailers (June 2022).
Formula: MAX(0, Opening - Principal)</t>
      </text>
    </comment>
    <comment ref="D172" authorId="0" shapeId="0">
      <text>
        <t>Links to: _Webster row 171 - Prior Closing Balance</t>
      </text>
    </comment>
    <comment ref="E172" authorId="0" shapeId="0">
      <text>
        <t>Loan: Webster, 30 Trailers (June 2022).
Formula: MAX(0, Opening * AnnualRate / 12)</t>
      </text>
    </comment>
    <comment ref="F172" authorId="0" shapeId="0">
      <text>
        <t>Loan: Webster, 30 Trailers (June 2022).
Formula: MAX(0, MIN(Opening, Payment - Interest))</t>
      </text>
    </comment>
    <comment ref="G172" authorId="0" shapeId="0">
      <text>
        <t>Loan: Webster, 30 Trailers (June 2022).
Formula: MAX(0, Opening - Principal)</t>
      </text>
    </comment>
    <comment ref="D173" authorId="0" shapeId="0">
      <text>
        <t>Links to: _Webster row 172 - Prior Closing Balance</t>
      </text>
    </comment>
    <comment ref="E173" authorId="0" shapeId="0">
      <text>
        <t>Loan: Webster, 30 Trailers (June 2022).
Formula: MAX(0, Opening * AnnualRate / 12)</t>
      </text>
    </comment>
    <comment ref="F173" authorId="0" shapeId="0">
      <text>
        <t>Loan: Webster, 30 Trailers (June 2022).
Formula: MAX(0, MIN(Opening, Payment - Interest))</t>
      </text>
    </comment>
    <comment ref="G173" authorId="0" shapeId="0">
      <text>
        <t>Loan: Webster, 30 Trailers (June 2022).
Formula: MAX(0, Opening - Principal)</t>
      </text>
    </comment>
    <comment ref="D174" authorId="0" shapeId="0">
      <text>
        <t>Links to: _Webster row 173 - Prior Closing Balance</t>
      </text>
    </comment>
    <comment ref="E174" authorId="0" shapeId="0">
      <text>
        <t>Loan: Webster, 30 Trailers (June 2022).
Formula: MAX(0, Opening * AnnualRate / 12)</t>
      </text>
    </comment>
    <comment ref="F174" authorId="0" shapeId="0">
      <text>
        <t>Loan: Webster, 30 Trailers (June 2022).
Formula: MAX(0, MIN(Opening, Payment - Interest))</t>
      </text>
    </comment>
    <comment ref="G174" authorId="0" shapeId="0">
      <text>
        <t>Loan: Webster, 30 Trailers (June 2022).
Formula: MAX(0, Opening - Principal)</t>
      </text>
    </comment>
    <comment ref="D175" authorId="0" shapeId="0">
      <text>
        <t>Links to: _Webster row 174 - Prior Closing Balance</t>
      </text>
    </comment>
    <comment ref="E175" authorId="0" shapeId="0">
      <text>
        <t>Loan: Webster, 30 Trailers (June 2022).
Formula: MAX(0, Opening * AnnualRate / 12)</t>
      </text>
    </comment>
    <comment ref="F175" authorId="0" shapeId="0">
      <text>
        <t>Loan: Webster, 30 Trailers (June 2022).
Formula: MAX(0, MIN(Opening, Payment - Interest))</t>
      </text>
    </comment>
    <comment ref="G175" authorId="0" shapeId="0">
      <text>
        <t>Loan: Webster, 30 Trailers (June 2022).
Formula: MAX(0, Opening - Principal)</t>
      </text>
    </comment>
    <comment ref="D176" authorId="0" shapeId="0">
      <text>
        <t>Links to: _Webster row 175 - Prior Closing Balance</t>
      </text>
    </comment>
    <comment ref="E176" authorId="0" shapeId="0">
      <text>
        <t>Loan: Webster, 30 Trailers (June 2022).
Formula: MAX(0, Opening * AnnualRate / 12)</t>
      </text>
    </comment>
    <comment ref="F176" authorId="0" shapeId="0">
      <text>
        <t>Loan: Webster, 30 Trailers (June 2022).
Formula: MAX(0, MIN(Opening, Payment - Interest))</t>
      </text>
    </comment>
    <comment ref="G176" authorId="0" shapeId="0">
      <text>
        <t>Loan: Webster, 30 Trailers (June 2022).
Formula: MAX(0, Opening - Principal)</t>
      </text>
    </comment>
    <comment ref="D177" authorId="0" shapeId="0">
      <text>
        <t>Links to: _Webster row 176 - Prior Closing Balance</t>
      </text>
    </comment>
    <comment ref="E177" authorId="0" shapeId="0">
      <text>
        <t>Loan: Webster, 30 Trailers (June 2022).
Formula: MAX(0, Opening * AnnualRate / 12)</t>
      </text>
    </comment>
    <comment ref="F177" authorId="0" shapeId="0">
      <text>
        <t>Loan: Webster, 30 Trailers (June 2022).
Formula: MAX(0, MIN(Opening, Payment - Interest))</t>
      </text>
    </comment>
    <comment ref="G177" authorId="0" shapeId="0">
      <text>
        <t>Loan: Webster, 30 Trailers (June 2022).
Formula: MAX(0, Opening - Principal)</t>
      </text>
    </comment>
    <comment ref="D178" authorId="0" shapeId="0">
      <text>
        <t>Links to: _Webster row 177 - Prior Closing Balance</t>
      </text>
    </comment>
    <comment ref="E178" authorId="0" shapeId="0">
      <text>
        <t>Loan: Webster, 30 Trailers (June 2022).
Formula: MAX(0, Opening * AnnualRate / 12)</t>
      </text>
    </comment>
    <comment ref="F178" authorId="0" shapeId="0">
      <text>
        <t>Loan: Webster, 30 Trailers (June 2022).
Formula: MAX(0, MIN(Opening, Payment - Interest))</t>
      </text>
    </comment>
    <comment ref="G178" authorId="0" shapeId="0">
      <text>
        <t>Loan: Webster, 30 Trailers (June 2022).
Formula: MAX(0, Opening - Principal)</t>
      </text>
    </comment>
    <comment ref="D179" authorId="0" shapeId="0">
      <text>
        <t>Links to: _Webster row 178 - Prior Closing Balance</t>
      </text>
    </comment>
    <comment ref="E179" authorId="0" shapeId="0">
      <text>
        <t>Loan: Webster, 30 Trailers (June 2022).
Formula: MAX(0, Opening * AnnualRate / 12)</t>
      </text>
    </comment>
    <comment ref="F179" authorId="0" shapeId="0">
      <text>
        <t>Loan: Webster, 30 Trailers (June 2022).
Formula: MAX(0, MIN(Opening, Payment - Interest))</t>
      </text>
    </comment>
    <comment ref="G179" authorId="0" shapeId="0">
      <text>
        <t>Loan: Webster, 30 Trailers (June 2022).
Formula: MAX(0, Opening - Principal)</t>
      </text>
    </comment>
    <comment ref="D180" authorId="0" shapeId="0">
      <text>
        <t>Links to: _Webster row 179 - Prior Closing Balance</t>
      </text>
    </comment>
    <comment ref="E180" authorId="0" shapeId="0">
      <text>
        <t>Loan: Webster, 30 Trailers (June 2022).
Formula: MAX(0, Opening * AnnualRate / 12)</t>
      </text>
    </comment>
    <comment ref="F180" authorId="0" shapeId="0">
      <text>
        <t>Loan: Webster, 30 Trailers (June 2022).
Formula: MAX(0, MIN(Opening, Payment - Interest))</t>
      </text>
    </comment>
    <comment ref="G180" authorId="0" shapeId="0">
      <text>
        <t>Loan: Webster, 30 Trailers (June 2022).
Formula: MAX(0, Opening - Principal)</t>
      </text>
    </comment>
    <comment ref="D181" authorId="0" shapeId="0">
      <text>
        <t>Links to: _Webster row 180 - Prior Closing Balance</t>
      </text>
    </comment>
    <comment ref="E181" authorId="0" shapeId="0">
      <text>
        <t>Loan: Webster, 30 Trailers (June 2022).
Formula: MAX(0, Opening * AnnualRate / 12)</t>
      </text>
    </comment>
    <comment ref="F181" authorId="0" shapeId="0">
      <text>
        <t>Loan: Webster, 30 Trailers (June 2022).
Formula: MAX(0, MIN(Opening, Payment - Interest))</t>
      </text>
    </comment>
    <comment ref="G181" authorId="0" shapeId="0">
      <text>
        <t>Loan: Webster, 30 Trailers (June 2022).
Formula: MAX(0, Opening - Principal)</t>
      </text>
    </comment>
    <comment ref="D182" authorId="0" shapeId="0">
      <text>
        <t>Links to: _Webster row 181 - Prior Closing Balance</t>
      </text>
    </comment>
    <comment ref="E182" authorId="0" shapeId="0">
      <text>
        <t>Loan: Webster, 30 Trailers (June 2022).
Formula: MAX(0, Opening * AnnualRate / 12)</t>
      </text>
    </comment>
    <comment ref="F182" authorId="0" shapeId="0">
      <text>
        <t>Loan: Webster, 30 Trailers (June 2022).
Formula: MAX(0, MIN(Opening, Payment - Interest))</t>
      </text>
    </comment>
    <comment ref="G182" authorId="0" shapeId="0">
      <text>
        <t>Loan: Webster, 30 Trailers (June 2022).
Formula: MAX(0, Opening - Principal)</t>
      </text>
    </comment>
    <comment ref="D183" authorId="0" shapeId="0">
      <text>
        <t>Links to: _Webster row 182 - Prior Closing Balance</t>
      </text>
    </comment>
    <comment ref="E183" authorId="0" shapeId="0">
      <text>
        <t>Loan: Webster, 30 Trailers (June 2022).
Formula: MAX(0, Opening * AnnualRate / 12)</t>
      </text>
    </comment>
    <comment ref="F183" authorId="0" shapeId="0">
      <text>
        <t>Loan: Webster, 30 Trailers (June 2022).
Formula: MAX(0, MIN(Opening, Payment - Interest))</t>
      </text>
    </comment>
    <comment ref="G183" authorId="0" shapeId="0">
      <text>
        <t>Loan: Webster, 30 Trailers (June 2022).
Formula: MAX(0, Opening - Principal)</t>
      </text>
    </comment>
    <comment ref="D184" authorId="0" shapeId="0">
      <text>
        <t>Links to: _Webster row 183 - Prior Closing Balance</t>
      </text>
    </comment>
    <comment ref="E184" authorId="0" shapeId="0">
      <text>
        <t>Loan: Webster, 30 Trailers (June 2022).
Formula: MAX(0, Opening * AnnualRate / 12)</t>
      </text>
    </comment>
    <comment ref="F184" authorId="0" shapeId="0">
      <text>
        <t>Loan: Webster, 30 Trailers (June 2022).
Formula: MAX(0, MIN(Opening, Payment - Interest))</t>
      </text>
    </comment>
    <comment ref="G184" authorId="0" shapeId="0">
      <text>
        <t>Loan: Webster, 30 Trailers (June 2022).
Formula: MAX(0, Opening - Principal)</t>
      </text>
    </comment>
    <comment ref="D185" authorId="0" shapeId="0">
      <text>
        <t>Links to: _Webster row 184 - Prior Closing Balance</t>
      </text>
    </comment>
    <comment ref="E185" authorId="0" shapeId="0">
      <text>
        <t>Loan: Webster, 30 Trailers (June 2022).
Formula: MAX(0, Opening * AnnualRate / 12)</t>
      </text>
    </comment>
    <comment ref="F185" authorId="0" shapeId="0">
      <text>
        <t>Loan: Webster, 30 Trailers (June 2022).
Formula: MAX(0, MIN(Opening, Payment - Interest))</t>
      </text>
    </comment>
    <comment ref="G185" authorId="0" shapeId="0">
      <text>
        <t>Loan: Webster, 30 Trailers (June 2022).
Formula: MAX(0, Opening - Principal)</t>
      </text>
    </comment>
    <comment ref="D186" authorId="0" shapeId="0">
      <text>
        <t>Links to: _Webster row 185 - Prior Closing Balance</t>
      </text>
    </comment>
    <comment ref="E186" authorId="0" shapeId="0">
      <text>
        <t>Loan: Webster, 30 Trailers (June 2022).
Formula: MAX(0, Opening * AnnualRate / 12)</t>
      </text>
    </comment>
    <comment ref="F186" authorId="0" shapeId="0">
      <text>
        <t>Loan: Webster, 30 Trailers (June 2022).
Formula: MAX(0, MIN(Opening, Payment - Interest))</t>
      </text>
    </comment>
    <comment ref="G186" authorId="0" shapeId="0">
      <text>
        <t>Loan: Webster, 30 Trailers (June 2022).
Formula: MAX(0, Opening - Principal)</t>
      </text>
    </comment>
    <comment ref="D187" authorId="0" shapeId="0">
      <text>
        <t>Links to: _Webster row 186 - Prior Closing Balance</t>
      </text>
    </comment>
    <comment ref="E187" authorId="0" shapeId="0">
      <text>
        <t>Loan: Webster, 30 Trailers (June 2022).
Formula: MAX(0, Opening * AnnualRate / 12)</t>
      </text>
    </comment>
    <comment ref="F187" authorId="0" shapeId="0">
      <text>
        <t>Loan: Webster, 30 Trailers (June 2022).
Formula: MAX(0, MIN(Opening, Payment - Interest))</t>
      </text>
    </comment>
    <comment ref="G187" authorId="0" shapeId="0">
      <text>
        <t>Loan: Webster, 30 Trailers (June 2022).
Formula: MAX(0, Opening - Principal)</t>
      </text>
    </comment>
    <comment ref="D188" authorId="0" shapeId="0">
      <text>
        <t>Links to: _Webster row 187 - Prior Closing Balance</t>
      </text>
    </comment>
    <comment ref="E188" authorId="0" shapeId="0">
      <text>
        <t>Loan: Webster, 30 Trailers (June 2022).
Formula: MAX(0, Opening * AnnualRate / 12)</t>
      </text>
    </comment>
    <comment ref="F188" authorId="0" shapeId="0">
      <text>
        <t>Loan: Webster, 30 Trailers (June 2022).
Formula: MAX(0, MIN(Opening, Payment - Interest))</t>
      </text>
    </comment>
    <comment ref="G188" authorId="0" shapeId="0">
      <text>
        <t>Loan: Webster, 30 Trailers (June 2022).
Formula: MAX(0, Opening - Principal)</t>
      </text>
    </comment>
    <comment ref="D189" authorId="0" shapeId="0">
      <text>
        <t>Links to: _Webster row 188 - Prior Closing Balance</t>
      </text>
    </comment>
    <comment ref="E189" authorId="0" shapeId="0">
      <text>
        <t>Loan: Webster, 30 Trailers (June 2022).
Formula: MAX(0, Opening * AnnualRate / 12)</t>
      </text>
    </comment>
    <comment ref="F189" authorId="0" shapeId="0">
      <text>
        <t>Loan: Webster, 30 Trailers (June 2022).
Formula: MAX(0, MIN(Opening, Payment - Interest))</t>
      </text>
    </comment>
    <comment ref="G189" authorId="0" shapeId="0">
      <text>
        <t>Loan: Webster, 30 Trailers (June 2022).
Formula: MAX(0, Opening - Principal)</t>
      </text>
    </comment>
    <comment ref="D190" authorId="0" shapeId="0">
      <text>
        <t>Links to: _Webster row 189 - Prior Closing Balance</t>
      </text>
    </comment>
    <comment ref="E190" authorId="0" shapeId="0">
      <text>
        <t>Loan: Webster, 30 Trailers (June 2022).
Formula: MAX(0, Opening * AnnualRate / 12)</t>
      </text>
    </comment>
    <comment ref="F190" authorId="0" shapeId="0">
      <text>
        <t>Loan: Webster, 30 Trailers (June 2022).
Formula: MAX(0, MIN(Opening, Payment - Interest))</t>
      </text>
    </comment>
    <comment ref="G190" authorId="0" shapeId="0">
      <text>
        <t>Loan: Webster, 30 Trailers (June 2022).
Formula: MAX(0, Opening - Principal)</t>
      </text>
    </comment>
    <comment ref="D191" authorId="0" shapeId="0">
      <text>
        <t>Links to: _Webster row 190 - Prior Closing Balance</t>
      </text>
    </comment>
    <comment ref="E191" authorId="0" shapeId="0">
      <text>
        <t>Loan: Webster, 30 Trailers (June 2022).
Formula: MAX(0, Opening * AnnualRate / 12)</t>
      </text>
    </comment>
    <comment ref="F191" authorId="0" shapeId="0">
      <text>
        <t>Loan: Webster, 30 Trailers (June 2022).
Formula: MAX(0, MIN(Opening, Payment - Interest))</t>
      </text>
    </comment>
    <comment ref="G191" authorId="0" shapeId="0">
      <text>
        <t>Loan: Webster, 30 Trailers (June 2022).
Formula: MAX(0, Opening - Principal)</t>
      </text>
    </comment>
    <comment ref="D192" authorId="0" shapeId="0">
      <text>
        <t>Links to: _Webster row 191 - Prior Closing Balance</t>
      </text>
    </comment>
    <comment ref="E192" authorId="0" shapeId="0">
      <text>
        <t>Loan: Webster, 30 Trailers (June 2022).
Formula: MAX(0, Opening * AnnualRate / 12)</t>
      </text>
    </comment>
    <comment ref="F192" authorId="0" shapeId="0">
      <text>
        <t>Loan: Webster, 30 Trailers (June 2022).
Formula: MAX(0, MIN(Opening, Payment - Interest))</t>
      </text>
    </comment>
    <comment ref="G192" authorId="0" shapeId="0">
      <text>
        <t>Loan: Webster, 30 Trailers (June 2022).
Formula: MAX(0, Opening - Principal)</t>
      </text>
    </comment>
    <comment ref="D193" authorId="0" shapeId="0">
      <text>
        <t>Links to: _Webster row 192 - Prior Closing Balance</t>
      </text>
    </comment>
    <comment ref="E193" authorId="0" shapeId="0">
      <text>
        <t>Loan: Webster, 30 Trailers (June 2022).
Formula: MAX(0, Opening * AnnualRate / 12)</t>
      </text>
    </comment>
    <comment ref="F193" authorId="0" shapeId="0">
      <text>
        <t>Loan: Webster, 30 Trailers (June 2022).
Formula: MAX(0, MIN(Opening, Payment - Interest))</t>
      </text>
    </comment>
    <comment ref="G193" authorId="0" shapeId="0">
      <text>
        <t>Loan: Webster, 30 Trailers (June 2022).
Formula: MAX(0, Opening - Principal)</t>
      </text>
    </comment>
    <comment ref="D194" authorId="0" shapeId="0">
      <text>
        <t>Links to: _Webster row 193 - Prior Closing Balance</t>
      </text>
    </comment>
    <comment ref="E194" authorId="0" shapeId="0">
      <text>
        <t>Loan: Webster, 30 Trailers (June 2022).
Formula: MAX(0, Opening * AnnualRate / 12)</t>
      </text>
    </comment>
    <comment ref="F194" authorId="0" shapeId="0">
      <text>
        <t>Loan: Webster, 30 Trailers (June 2022).
Formula: MAX(0, MIN(Opening, Payment - Interest))</t>
      </text>
    </comment>
    <comment ref="G194" authorId="0" shapeId="0">
      <text>
        <t>Loan: Webster, 30 Trailers (June 2022).
Formula: MAX(0, Opening - Principal)</t>
      </text>
    </comment>
    <comment ref="D195" authorId="0" shapeId="0">
      <text>
        <t>Links to: _Webster row 194 - Prior Closing Balance</t>
      </text>
    </comment>
    <comment ref="E195" authorId="0" shapeId="0">
      <text>
        <t>Loan: Webster, 30 Trailers (June 2022).
Formula: MAX(0, Opening * AnnualRate / 12)</t>
      </text>
    </comment>
    <comment ref="F195" authorId="0" shapeId="0">
      <text>
        <t>Loan: Webster, 30 Trailers (June 2022).
Formula: MAX(0, MIN(Opening, Payment - Interest))</t>
      </text>
    </comment>
    <comment ref="G195" authorId="0" shapeId="0">
      <text>
        <t>Loan: Webster, 30 Trailers (June 2022).
Formula: MAX(0, Opening - Principal)</t>
      </text>
    </comment>
    <comment ref="D196" authorId="0" shapeId="0">
      <text>
        <t>Links to: _Webster row 195 - Prior Closing Balance</t>
      </text>
    </comment>
    <comment ref="E196" authorId="0" shapeId="0">
      <text>
        <t>Loan: Webster, 30 Trailers (June 2022).
Formula: MAX(0, Opening * AnnualRate / 12)</t>
      </text>
    </comment>
    <comment ref="F196" authorId="0" shapeId="0">
      <text>
        <t>Loan: Webster, 30 Trailers (June 2022).
Formula: MAX(0, MIN(Opening, Payment - Interest))</t>
      </text>
    </comment>
    <comment ref="G196" authorId="0" shapeId="0">
      <text>
        <t>Loan: Webster, 30 Trailers (June 2022).
Formula: MAX(0, Opening - Principal)</t>
      </text>
    </comment>
    <comment ref="D197" authorId="0" shapeId="0">
      <text>
        <t>Links to: _Webster row 196 - Prior Closing Balance</t>
      </text>
    </comment>
    <comment ref="E197" authorId="0" shapeId="0">
      <text>
        <t>Loan: Webster, 30 Trailers (June 2022).
Formula: MAX(0, Opening * AnnualRate / 12)</t>
      </text>
    </comment>
    <comment ref="F197" authorId="0" shapeId="0">
      <text>
        <t>Loan: Webster, 30 Trailers (June 2022).
Formula: MAX(0, MIN(Opening, Payment - Interest))</t>
      </text>
    </comment>
    <comment ref="G197" authorId="0" shapeId="0">
      <text>
        <t>Loan: Webster, 30 Trailers (June 2022).
Formula: MAX(0, Opening - Principal)</t>
      </text>
    </comment>
    <comment ref="D198" authorId="0" shapeId="0">
      <text>
        <t>Links to: _Webster row 197 - Prior Closing Balance</t>
      </text>
    </comment>
    <comment ref="E198" authorId="0" shapeId="0">
      <text>
        <t>Loan: Webster, 30 Trailers (June 2022).
Formula: MAX(0, Opening * AnnualRate / 12)</t>
      </text>
    </comment>
    <comment ref="F198" authorId="0" shapeId="0">
      <text>
        <t>Loan: Webster, 30 Trailers (June 2022).
Formula: MAX(0, MIN(Opening, Payment - Interest))</t>
      </text>
    </comment>
    <comment ref="G198" authorId="0" shapeId="0">
      <text>
        <t>Loan: Webster, 30 Trailers (June 2022).
Formula: MAX(0, Opening - Principal)</t>
      </text>
    </comment>
    <comment ref="D199" authorId="0" shapeId="0">
      <text>
        <t>Links to: _Webster row 198 - Prior Closing Balance</t>
      </text>
    </comment>
    <comment ref="E199" authorId="0" shapeId="0">
      <text>
        <t>Loan: Webster, 30 Trailers (June 2022).
Formula: MAX(0, Opening * AnnualRate / 12)</t>
      </text>
    </comment>
    <comment ref="F199" authorId="0" shapeId="0">
      <text>
        <t>Loan: Webster, 30 Trailers (June 2022).
Formula: MAX(0, MIN(Opening, Payment - Interest))</t>
      </text>
    </comment>
    <comment ref="G199" authorId="0" shapeId="0">
      <text>
        <t>Loan: Webster, 30 Trailers (June 2022).
Formula: MAX(0, Opening - Principal)</t>
      </text>
    </comment>
    <comment ref="D200" authorId="0" shapeId="0">
      <text>
        <t>Links to: _Webster row 199 - Prior Closing Balance</t>
      </text>
    </comment>
    <comment ref="E200" authorId="0" shapeId="0">
      <text>
        <t>Loan: Webster, 30 Trailers (June 2022).
Formula: MAX(0, Opening * AnnualRate / 12)</t>
      </text>
    </comment>
    <comment ref="F200" authorId="0" shapeId="0">
      <text>
        <t>Loan: Webster, 30 Trailers (June 2022).
Formula: MAX(0, MIN(Opening, Payment - Interest))</t>
      </text>
    </comment>
    <comment ref="G200" authorId="0" shapeId="0">
      <text>
        <t>Loan: Webster, 30 Trailers (June 2022).
Formula: MAX(0, Opening - Principal)</t>
      </text>
    </comment>
    <comment ref="D201" authorId="0" shapeId="0">
      <text>
        <t>Links to: _Webster row 200 - Prior Closing Balance</t>
      </text>
    </comment>
    <comment ref="E201" authorId="0" shapeId="0">
      <text>
        <t>Loan: Webster, 30 Trailers (June 2022).
Formula: MAX(0, Opening * AnnualRate / 12)</t>
      </text>
    </comment>
    <comment ref="F201" authorId="0" shapeId="0">
      <text>
        <t>Loan: Webster, 30 Trailers (June 2022).
Formula: MAX(0, MIN(Opening, Payment - Interest))</t>
      </text>
    </comment>
    <comment ref="G201" authorId="0" shapeId="0">
      <text>
        <t>Loan: Webster, 30 Trailers (June 2022).
Formula: MAX(0, Opening - Principal)</t>
      </text>
    </comment>
    <comment ref="D202" authorId="0" shapeId="0">
      <text>
        <t>Links to: _Webster row 201 - Prior Closing Balance</t>
      </text>
    </comment>
    <comment ref="E202" authorId="0" shapeId="0">
      <text>
        <t>Loan: Webster, 30 Trailers (June 2022).
Formula: MAX(0, Opening * AnnualRate / 12)</t>
      </text>
    </comment>
    <comment ref="F202" authorId="0" shapeId="0">
      <text>
        <t>Loan: Webster, 30 Trailers (June 2022).
Formula: MAX(0, MIN(Opening, Payment - Interest))</t>
      </text>
    </comment>
    <comment ref="G202" authorId="0" shapeId="0">
      <text>
        <t>Loan: Webster, 30 Trailers (June 2022).
Formula: MAX(0, Opening - Principal)</t>
      </text>
    </comment>
    <comment ref="D203" authorId="0" shapeId="0">
      <text>
        <t>Links to: _Webster row 202 - Prior Closing Balance</t>
      </text>
    </comment>
    <comment ref="E203" authorId="0" shapeId="0">
      <text>
        <t>Loan: Webster, 30 Trailers (June 2022).
Formula: MAX(0, Opening * AnnualRate / 12)</t>
      </text>
    </comment>
    <comment ref="F203" authorId="0" shapeId="0">
      <text>
        <t>Loan: Webster, 30 Trailers (June 2022).
Formula: MAX(0, MIN(Opening, Payment - Interest))</t>
      </text>
    </comment>
    <comment ref="G203" authorId="0" shapeId="0">
      <text>
        <t>Loan: Webster, 30 Trailers (June 2022).
Formula: MAX(0, Opening - Principal)</t>
      </text>
    </comment>
    <comment ref="D204" authorId="0" shapeId="0">
      <text>
        <t>Links to: _Webster row 203 - Prior Closing Balance</t>
      </text>
    </comment>
    <comment ref="E204" authorId="0" shapeId="0">
      <text>
        <t>Loan: Webster, 30 Trailers (June 2022).
Formula: MAX(0, Opening * AnnualRate / 12)</t>
      </text>
    </comment>
    <comment ref="F204" authorId="0" shapeId="0">
      <text>
        <t>Loan: Webster, 30 Trailers (June 2022).
Formula: MAX(0, MIN(Opening, Payment - Interest))</t>
      </text>
    </comment>
    <comment ref="G204" authorId="0" shapeId="0">
      <text>
        <t>Loan: Webster, 30 Trailers (June 2022).
Formula: MAX(0, Opening - Principal)</t>
      </text>
    </comment>
    <comment ref="E205" authorId="0" shapeId="0">
      <text>
        <t>Sum of rows 159-204: Interest payments</t>
      </text>
    </comment>
    <comment ref="F205" authorId="0" shapeId="0">
      <text>
        <t>Sum of rows 159-204: Principal payments</t>
      </text>
    </comment>
    <comment ref="A208" authorId="0" shapeId="0">
      <text>
        <t>Loan: Webster Capital Finance, AMORTIZING.
Source: Meiborg_Debt_Schedule_202511.xlsx</t>
      </text>
    </comment>
    <comment ref="C209" authorId="0" shapeId="0">
      <text>
        <t>Source: loans.md - 7 T680 Trucks (March 2023)
Extracted: 2025-11-30</t>
      </text>
    </comment>
    <comment ref="C210" authorId="0" shapeId="0">
      <text>
        <t>Source: loans.md - 7 T680 Trucks (March 2023)
Extracted: 2025-11-30</t>
      </text>
    </comment>
    <comment ref="C211" authorId="0" shapeId="0">
      <text>
        <t>Source: loans.md - 7 T680 Trucks (March 2023)
Extracted: 2025-11-30</t>
      </text>
    </comment>
    <comment ref="C212" authorId="0" shapeId="0">
      <text>
        <t>Source: loans.md - 7 T680 Trucks (March 2023)
Extracted: 2025-11-30</t>
      </text>
    </comment>
    <comment ref="C213" authorId="0" shapeId="0">
      <text>
        <t>Source: loans.md - 7 T680 Trucks (March 2023)
Extracted: 2025-11-30</t>
      </text>
    </comment>
    <comment ref="C214" authorId="0" shapeId="0">
      <text>
        <t>Source: loans.md - 7 T680 Trucks (March 2023)
Extracted: 2025-11-30</t>
      </text>
    </comment>
    <comment ref="C215" authorId="0" shapeId="0">
      <text>
        <t>Source: loans.md - 7 T680 Trucks (March 2023)
Extracted: 2025-11-30</t>
      </text>
    </comment>
    <comment ref="C216" authorId="0" shapeId="0">
      <text>
        <t>Source: loans.md - 7 T680 Trucks (March 2023)
Extracted: 2025-11-30</t>
      </text>
    </comment>
    <comment ref="C217" authorId="0" shapeId="0">
      <text>
        <t>Source: loans.md - 7 T680 Trucks (March 2023)
Extracted: 2025-11-30</t>
      </text>
    </comment>
    <comment ref="C218" authorId="0" shapeId="0">
      <text>
        <t>Source: loans.md - 7 T680 Trucks (March 2023)
Extracted: 2025-11-30</t>
      </text>
    </comment>
    <comment ref="D221" authorId="0" shapeId="0">
      <text>
        <t>Source: loans.md - Remaining Balance
Extracted: 2025-11-30</t>
      </text>
    </comment>
    <comment ref="E221" authorId="0" shapeId="0">
      <text>
        <t>Loan: Webster, 7 T680 Trucks (March 2023).
Formula: MAX(0, Opening * AnnualRate / 12)</t>
      </text>
    </comment>
    <comment ref="F221" authorId="0" shapeId="0">
      <text>
        <t>Loan: Webster, 7 T680 Trucks (March 2023).
Formula: MAX(0, MIN(Opening, Payment - Interest))</t>
      </text>
    </comment>
    <comment ref="G221" authorId="0" shapeId="0">
      <text>
        <t>Loan: Webster, 7 T680 Trucks (March 2023).
Formula: MAX(0, Opening - Principal)</t>
      </text>
    </comment>
    <comment ref="D222" authorId="0" shapeId="0">
      <text>
        <t>Links to: _Webster row 221 - Prior Closing Balance</t>
      </text>
    </comment>
    <comment ref="E222" authorId="0" shapeId="0">
      <text>
        <t>Loan: Webster, 7 T680 Trucks (March 2023).
Formula: MAX(0, Opening * AnnualRate / 12)</t>
      </text>
    </comment>
    <comment ref="F222" authorId="0" shapeId="0">
      <text>
        <t>Loan: Webster, 7 T680 Trucks (March 2023).
Formula: MAX(0, MIN(Opening, Payment - Interest))</t>
      </text>
    </comment>
    <comment ref="G222" authorId="0" shapeId="0">
      <text>
        <t>Loan: Webster, 7 T680 Trucks (March 2023).
Formula: MAX(0, Opening - Principal)</t>
      </text>
    </comment>
    <comment ref="D223" authorId="0" shapeId="0">
      <text>
        <t>Links to: _Webster row 222 - Prior Closing Balance</t>
      </text>
    </comment>
    <comment ref="E223" authorId="0" shapeId="0">
      <text>
        <t>Loan: Webster, 7 T680 Trucks (March 2023).
Formula: MAX(0, Opening * AnnualRate / 12)</t>
      </text>
    </comment>
    <comment ref="F223" authorId="0" shapeId="0">
      <text>
        <t>Loan: Webster, 7 T680 Trucks (March 2023).
Formula: MAX(0, MIN(Opening, Payment - Interest))</t>
      </text>
    </comment>
    <comment ref="G223" authorId="0" shapeId="0">
      <text>
        <t>Loan: Webster, 7 T680 Trucks (March 2023).
Formula: MAX(0, Opening - Principal)</t>
      </text>
    </comment>
    <comment ref="D224" authorId="0" shapeId="0">
      <text>
        <t>Links to: _Webster row 223 - Prior Closing Balance</t>
      </text>
    </comment>
    <comment ref="E224" authorId="0" shapeId="0">
      <text>
        <t>Loan: Webster, 7 T680 Trucks (March 2023).
Formula: MAX(0, Opening * AnnualRate / 12)</t>
      </text>
    </comment>
    <comment ref="F224" authorId="0" shapeId="0">
      <text>
        <t>Loan: Webster, 7 T680 Trucks (March 2023).
Formula: MAX(0, MIN(Opening, Payment - Interest))</t>
      </text>
    </comment>
    <comment ref="G224" authorId="0" shapeId="0">
      <text>
        <t>Loan: Webster, 7 T680 Trucks (March 2023).
Formula: MAX(0, Opening - Principal)</t>
      </text>
    </comment>
    <comment ref="D225" authorId="0" shapeId="0">
      <text>
        <t>Links to: _Webster row 224 - Prior Closing Balance</t>
      </text>
    </comment>
    <comment ref="E225" authorId="0" shapeId="0">
      <text>
        <t>Loan: Webster, 7 T680 Trucks (March 2023).
Formula: MAX(0, Opening * AnnualRate / 12)</t>
      </text>
    </comment>
    <comment ref="F225" authorId="0" shapeId="0">
      <text>
        <t>Loan: Webster, 7 T680 Trucks (March 2023).
Formula: MAX(0, MIN(Opening, Payment - Interest))</t>
      </text>
    </comment>
    <comment ref="G225" authorId="0" shapeId="0">
      <text>
        <t>Loan: Webster, 7 T680 Trucks (March 2023).
Formula: MAX(0, Opening - Principal)</t>
      </text>
    </comment>
    <comment ref="D226" authorId="0" shapeId="0">
      <text>
        <t>Links to: _Webster row 225 - Prior Closing Balance</t>
      </text>
    </comment>
    <comment ref="E226" authorId="0" shapeId="0">
      <text>
        <t>Loan: Webster, 7 T680 Trucks (March 2023).
Formula: MAX(0, Opening * AnnualRate / 12)</t>
      </text>
    </comment>
    <comment ref="F226" authorId="0" shapeId="0">
      <text>
        <t>Loan: Webster, 7 T680 Trucks (March 2023).
Formula: MAX(0, MIN(Opening, Payment - Interest))</t>
      </text>
    </comment>
    <comment ref="G226" authorId="0" shapeId="0">
      <text>
        <t>Loan: Webster, 7 T680 Trucks (March 2023).
Formula: MAX(0, Opening - Principal)</t>
      </text>
    </comment>
    <comment ref="D227" authorId="0" shapeId="0">
      <text>
        <t>Links to: _Webster row 226 - Prior Closing Balance</t>
      </text>
    </comment>
    <comment ref="E227" authorId="0" shapeId="0">
      <text>
        <t>Loan: Webster, 7 T680 Trucks (March 2023).
Formula: MAX(0, Opening * AnnualRate / 12)</t>
      </text>
    </comment>
    <comment ref="F227" authorId="0" shapeId="0">
      <text>
        <t>Loan: Webster, 7 T680 Trucks (March 2023).
Formula: MAX(0, MIN(Opening, Payment - Interest))</t>
      </text>
    </comment>
    <comment ref="G227" authorId="0" shapeId="0">
      <text>
        <t>Loan: Webster, 7 T680 Trucks (March 2023).
Formula: MAX(0, Opening - Principal)</t>
      </text>
    </comment>
    <comment ref="D228" authorId="0" shapeId="0">
      <text>
        <t>Links to: _Webster row 227 - Prior Closing Balance</t>
      </text>
    </comment>
    <comment ref="E228" authorId="0" shapeId="0">
      <text>
        <t>Loan: Webster, 7 T680 Trucks (March 2023).
Formula: MAX(0, Opening * AnnualRate / 12)</t>
      </text>
    </comment>
    <comment ref="F228" authorId="0" shapeId="0">
      <text>
        <t>Loan: Webster, 7 T680 Trucks (March 2023).
Formula: MAX(0, MIN(Opening, Payment - Interest))</t>
      </text>
    </comment>
    <comment ref="G228" authorId="0" shapeId="0">
      <text>
        <t>Loan: Webster, 7 T680 Trucks (March 2023).
Formula: MAX(0, Opening - Principal)</t>
      </text>
    </comment>
    <comment ref="D229" authorId="0" shapeId="0">
      <text>
        <t>Links to: _Webster row 228 - Prior Closing Balance</t>
      </text>
    </comment>
    <comment ref="E229" authorId="0" shapeId="0">
      <text>
        <t>Loan: Webster, 7 T680 Trucks (March 2023).
Formula: MAX(0, Opening * AnnualRate / 12)</t>
      </text>
    </comment>
    <comment ref="F229" authorId="0" shapeId="0">
      <text>
        <t>Loan: Webster, 7 T680 Trucks (March 2023).
Formula: MAX(0, MIN(Opening, Payment - Interest))</t>
      </text>
    </comment>
    <comment ref="G229" authorId="0" shapeId="0">
      <text>
        <t>Loan: Webster, 7 T680 Trucks (March 2023).
Formula: MAX(0, Opening - Principal)</t>
      </text>
    </comment>
    <comment ref="D230" authorId="0" shapeId="0">
      <text>
        <t>Links to: _Webster row 229 - Prior Closing Balance</t>
      </text>
    </comment>
    <comment ref="E230" authorId="0" shapeId="0">
      <text>
        <t>Loan: Webster, 7 T680 Trucks (March 2023).
Formula: MAX(0, Opening * AnnualRate / 12)</t>
      </text>
    </comment>
    <comment ref="F230" authorId="0" shapeId="0">
      <text>
        <t>Loan: Webster, 7 T680 Trucks (March 2023).
Formula: MAX(0, MIN(Opening, Payment - Interest))</t>
      </text>
    </comment>
    <comment ref="G230" authorId="0" shapeId="0">
      <text>
        <t>Loan: Webster, 7 T680 Trucks (March 2023).
Formula: MAX(0, Opening - Principal)</t>
      </text>
    </comment>
    <comment ref="D231" authorId="0" shapeId="0">
      <text>
        <t>Links to: _Webster row 230 - Prior Closing Balance</t>
      </text>
    </comment>
    <comment ref="E231" authorId="0" shapeId="0">
      <text>
        <t>Loan: Webster, 7 T680 Trucks (March 2023).
Formula: MAX(0, Opening * AnnualRate / 12)</t>
      </text>
    </comment>
    <comment ref="F231" authorId="0" shapeId="0">
      <text>
        <t>Loan: Webster, 7 T680 Trucks (March 2023).
Formula: MAX(0, MIN(Opening, Payment - Interest))</t>
      </text>
    </comment>
    <comment ref="G231" authorId="0" shapeId="0">
      <text>
        <t>Loan: Webster, 7 T680 Trucks (March 2023).
Formula: MAX(0, Opening - Principal)</t>
      </text>
    </comment>
    <comment ref="D232" authorId="0" shapeId="0">
      <text>
        <t>Links to: _Webster row 231 - Prior Closing Balance</t>
      </text>
    </comment>
    <comment ref="E232" authorId="0" shapeId="0">
      <text>
        <t>Loan: Webster, 7 T680 Trucks (March 2023).
Formula: MAX(0, Opening * AnnualRate / 12)</t>
      </text>
    </comment>
    <comment ref="F232" authorId="0" shapeId="0">
      <text>
        <t>Loan: Webster, 7 T680 Trucks (March 2023).
Formula: MAX(0, MIN(Opening, Payment - Interest))</t>
      </text>
    </comment>
    <comment ref="G232" authorId="0" shapeId="0">
      <text>
        <t>Loan: Webster, 7 T680 Trucks (March 2023).
Formula: MAX(0, Opening - Principal)</t>
      </text>
    </comment>
    <comment ref="D233" authorId="0" shapeId="0">
      <text>
        <t>Links to: _Webster row 232 - Prior Closing Balance</t>
      </text>
    </comment>
    <comment ref="E233" authorId="0" shapeId="0">
      <text>
        <t>Loan: Webster, 7 T680 Trucks (March 2023).
Formula: MAX(0, Opening * AnnualRate / 12)</t>
      </text>
    </comment>
    <comment ref="F233" authorId="0" shapeId="0">
      <text>
        <t>Loan: Webster, 7 T680 Trucks (March 2023).
Formula: MAX(0, MIN(Opening, Payment - Interest))</t>
      </text>
    </comment>
    <comment ref="G233" authorId="0" shapeId="0">
      <text>
        <t>Loan: Webster, 7 T680 Trucks (March 2023).
Formula: MAX(0, Opening - Principal)</t>
      </text>
    </comment>
    <comment ref="D234" authorId="0" shapeId="0">
      <text>
        <t>Links to: _Webster row 233 - Prior Closing Balance</t>
      </text>
    </comment>
    <comment ref="E234" authorId="0" shapeId="0">
      <text>
        <t>Loan: Webster, 7 T680 Trucks (March 2023).
Formula: MAX(0, Opening * AnnualRate / 12)</t>
      </text>
    </comment>
    <comment ref="F234" authorId="0" shapeId="0">
      <text>
        <t>Loan: Webster, 7 T680 Trucks (March 2023).
Formula: MAX(0, MIN(Opening, Payment - Interest))</t>
      </text>
    </comment>
    <comment ref="G234" authorId="0" shapeId="0">
      <text>
        <t>Loan: Webster, 7 T680 Trucks (March 2023).
Formula: MAX(0, Opening - Principal)</t>
      </text>
    </comment>
    <comment ref="D235" authorId="0" shapeId="0">
      <text>
        <t>Links to: _Webster row 234 - Prior Closing Balance</t>
      </text>
    </comment>
    <comment ref="E235" authorId="0" shapeId="0">
      <text>
        <t>Loan: Webster, 7 T680 Trucks (March 2023).
Formula: MAX(0, Opening * AnnualRate / 12)</t>
      </text>
    </comment>
    <comment ref="F235" authorId="0" shapeId="0">
      <text>
        <t>Loan: Webster, 7 T680 Trucks (March 2023).
Formula: MAX(0, MIN(Opening, Payment - Interest))</t>
      </text>
    </comment>
    <comment ref="G235" authorId="0" shapeId="0">
      <text>
        <t>Loan: Webster, 7 T680 Trucks (March 2023).
Formula: MAX(0, Opening - Principal)</t>
      </text>
    </comment>
    <comment ref="D236" authorId="0" shapeId="0">
      <text>
        <t>Links to: _Webster row 235 - Prior Closing Balance</t>
      </text>
    </comment>
    <comment ref="E236" authorId="0" shapeId="0">
      <text>
        <t>Loan: Webster, 7 T680 Trucks (March 2023).
Formula: MAX(0, Opening * AnnualRate / 12)</t>
      </text>
    </comment>
    <comment ref="F236" authorId="0" shapeId="0">
      <text>
        <t>Loan: Webster, 7 T680 Trucks (March 2023).
Formula: MAX(0, MIN(Opening, Payment - Interest))</t>
      </text>
    </comment>
    <comment ref="G236" authorId="0" shapeId="0">
      <text>
        <t>Loan: Webster, 7 T680 Trucks (March 2023).
Formula: MAX(0, Opening - Principal)</t>
      </text>
    </comment>
    <comment ref="D237" authorId="0" shapeId="0">
      <text>
        <t>Links to: _Webster row 236 - Prior Closing Balance</t>
      </text>
    </comment>
    <comment ref="E237" authorId="0" shapeId="0">
      <text>
        <t>Loan: Webster, 7 T680 Trucks (March 2023).
Formula: MAX(0, Opening * AnnualRate / 12)</t>
      </text>
    </comment>
    <comment ref="F237" authorId="0" shapeId="0">
      <text>
        <t>Loan: Webster, 7 T680 Trucks (March 2023).
Formula: MAX(0, MIN(Opening, Payment - Interest))</t>
      </text>
    </comment>
    <comment ref="G237" authorId="0" shapeId="0">
      <text>
        <t>Loan: Webster, 7 T680 Trucks (March 2023).
Formula: MAX(0, Opening - Principal)</t>
      </text>
    </comment>
    <comment ref="D238" authorId="0" shapeId="0">
      <text>
        <t>Links to: _Webster row 237 - Prior Closing Balance</t>
      </text>
    </comment>
    <comment ref="E238" authorId="0" shapeId="0">
      <text>
        <t>Loan: Webster, 7 T680 Trucks (March 2023).
Formula: MAX(0, Opening * AnnualRate / 12)</t>
      </text>
    </comment>
    <comment ref="F238" authorId="0" shapeId="0">
      <text>
        <t>Loan: Webster, 7 T680 Trucks (March 2023).
Formula: MAX(0, MIN(Opening, Payment - Interest))</t>
      </text>
    </comment>
    <comment ref="G238" authorId="0" shapeId="0">
      <text>
        <t>Loan: Webster, 7 T680 Trucks (March 2023).
Formula: MAX(0, Opening - Principal)</t>
      </text>
    </comment>
    <comment ref="D239" authorId="0" shapeId="0">
      <text>
        <t>Links to: _Webster row 238 - Prior Closing Balance</t>
      </text>
    </comment>
    <comment ref="E239" authorId="0" shapeId="0">
      <text>
        <t>Loan: Webster, 7 T680 Trucks (March 2023).
Formula: MAX(0, Opening * AnnualRate / 12)</t>
      </text>
    </comment>
    <comment ref="F239" authorId="0" shapeId="0">
      <text>
        <t>Loan: Webster, 7 T680 Trucks (March 2023).
Formula: MAX(0, MIN(Opening, Payment - Interest))</t>
      </text>
    </comment>
    <comment ref="G239" authorId="0" shapeId="0">
      <text>
        <t>Loan: Webster, 7 T680 Trucks (March 2023).
Formula: MAX(0, Opening - Principal)</t>
      </text>
    </comment>
    <comment ref="D240" authorId="0" shapeId="0">
      <text>
        <t>Links to: _Webster row 239 - Prior Closing Balance</t>
      </text>
    </comment>
    <comment ref="E240" authorId="0" shapeId="0">
      <text>
        <t>Loan: Webster, 7 T680 Trucks (March 2023).
Formula: MAX(0, Opening * AnnualRate / 12)</t>
      </text>
    </comment>
    <comment ref="F240" authorId="0" shapeId="0">
      <text>
        <t>Loan: Webster, 7 T680 Trucks (March 2023).
Formula: MAX(0, MIN(Opening, Payment - Interest))</t>
      </text>
    </comment>
    <comment ref="G240" authorId="0" shapeId="0">
      <text>
        <t>Loan: Webster, 7 T680 Trucks (March 2023).
Formula: MAX(0, Opening - Principal)</t>
      </text>
    </comment>
    <comment ref="D241" authorId="0" shapeId="0">
      <text>
        <t>Links to: _Webster row 240 - Prior Closing Balance</t>
      </text>
    </comment>
    <comment ref="E241" authorId="0" shapeId="0">
      <text>
        <t>Loan: Webster, 7 T680 Trucks (March 2023).
Formula: MAX(0, Opening * AnnualRate / 12)</t>
      </text>
    </comment>
    <comment ref="F241" authorId="0" shapeId="0">
      <text>
        <t>Loan: Webster, 7 T680 Trucks (March 2023).
Formula: MAX(0, MIN(Opening, Payment - Interest))</t>
      </text>
    </comment>
    <comment ref="G241" authorId="0" shapeId="0">
      <text>
        <t>Loan: Webster, 7 T680 Trucks (March 2023).
Formula: MAX(0, Opening - Principal)</t>
      </text>
    </comment>
    <comment ref="D242" authorId="0" shapeId="0">
      <text>
        <t>Links to: _Webster row 241 - Prior Closing Balance</t>
      </text>
    </comment>
    <comment ref="E242" authorId="0" shapeId="0">
      <text>
        <t>Loan: Webster, 7 T680 Trucks (March 2023).
Formula: MAX(0, Opening * AnnualRate / 12)</t>
      </text>
    </comment>
    <comment ref="F242" authorId="0" shapeId="0">
      <text>
        <t>Loan: Webster, 7 T680 Trucks (March 2023).
Formula: MAX(0, MIN(Opening, Payment - Interest))</t>
      </text>
    </comment>
    <comment ref="G242" authorId="0" shapeId="0">
      <text>
        <t>Loan: Webster, 7 T680 Trucks (March 2023).
Formula: MAX(0, Opening - Principal)</t>
      </text>
    </comment>
    <comment ref="D243" authorId="0" shapeId="0">
      <text>
        <t>Links to: _Webster row 242 - Prior Closing Balance</t>
      </text>
    </comment>
    <comment ref="E243" authorId="0" shapeId="0">
      <text>
        <t>Loan: Webster, 7 T680 Trucks (March 2023).
Formula: MAX(0, Opening * AnnualRate / 12)</t>
      </text>
    </comment>
    <comment ref="F243" authorId="0" shapeId="0">
      <text>
        <t>Loan: Webster, 7 T680 Trucks (March 2023).
Formula: MAX(0, MIN(Opening, Payment - Interest))</t>
      </text>
    </comment>
    <comment ref="G243" authorId="0" shapeId="0">
      <text>
        <t>Loan: Webster, 7 T680 Trucks (March 2023).
Formula: MAX(0, Opening - Principal)</t>
      </text>
    </comment>
    <comment ref="D244" authorId="0" shapeId="0">
      <text>
        <t>Links to: _Webster row 243 - Prior Closing Balance</t>
      </text>
    </comment>
    <comment ref="E244" authorId="0" shapeId="0">
      <text>
        <t>Loan: Webster, 7 T680 Trucks (March 2023).
Formula: MAX(0, Opening * AnnualRate / 12)</t>
      </text>
    </comment>
    <comment ref="F244" authorId="0" shapeId="0">
      <text>
        <t>Loan: Webster, 7 T680 Trucks (March 2023).
Formula: MAX(0, MIN(Opening, Payment - Interest))</t>
      </text>
    </comment>
    <comment ref="G244" authorId="0" shapeId="0">
      <text>
        <t>Loan: Webster, 7 T680 Trucks (March 2023).
Formula: MAX(0, Opening - Principal)</t>
      </text>
    </comment>
    <comment ref="D245" authorId="0" shapeId="0">
      <text>
        <t>Links to: _Webster row 244 - Prior Closing Balance</t>
      </text>
    </comment>
    <comment ref="E245" authorId="0" shapeId="0">
      <text>
        <t>Loan: Webster, 7 T680 Trucks (March 2023).
Formula: MAX(0, Opening * AnnualRate / 12)</t>
      </text>
    </comment>
    <comment ref="F245" authorId="0" shapeId="0">
      <text>
        <t>Loan: Webster, 7 T680 Trucks (March 2023).
Formula: MAX(0, MIN(Opening, Payment - Interest))</t>
      </text>
    </comment>
    <comment ref="G245" authorId="0" shapeId="0">
      <text>
        <t>Loan: Webster, 7 T680 Trucks (March 2023).
Formula: MAX(0, Opening - Principal)</t>
      </text>
    </comment>
    <comment ref="D246" authorId="0" shapeId="0">
      <text>
        <t>Links to: _Webster row 245 - Prior Closing Balance</t>
      </text>
    </comment>
    <comment ref="E246" authorId="0" shapeId="0">
      <text>
        <t>Loan: Webster, 7 T680 Trucks (March 2023).
Formula: MAX(0, Opening * AnnualRate / 12)</t>
      </text>
    </comment>
    <comment ref="F246" authorId="0" shapeId="0">
      <text>
        <t>Loan: Webster, 7 T680 Trucks (March 2023).
Formula: MAX(0, MIN(Opening, Payment - Interest))</t>
      </text>
    </comment>
    <comment ref="G246" authorId="0" shapeId="0">
      <text>
        <t>Loan: Webster, 7 T680 Trucks (March 2023).
Formula: MAX(0, Opening - Principal)</t>
      </text>
    </comment>
    <comment ref="D247" authorId="0" shapeId="0">
      <text>
        <t>Links to: _Webster row 246 - Prior Closing Balance</t>
      </text>
    </comment>
    <comment ref="E247" authorId="0" shapeId="0">
      <text>
        <t>Loan: Webster, 7 T680 Trucks (March 2023).
Formula: MAX(0, Opening * AnnualRate / 12)</t>
      </text>
    </comment>
    <comment ref="F247" authorId="0" shapeId="0">
      <text>
        <t>Loan: Webster, 7 T680 Trucks (March 2023).
Formula: MAX(0, MIN(Opening, Payment - Interest))</t>
      </text>
    </comment>
    <comment ref="G247" authorId="0" shapeId="0">
      <text>
        <t>Loan: Webster, 7 T680 Trucks (March 2023).
Formula: MAX(0, Opening - Principal)</t>
      </text>
    </comment>
    <comment ref="D248" authorId="0" shapeId="0">
      <text>
        <t>Links to: _Webster row 247 - Prior Closing Balance</t>
      </text>
    </comment>
    <comment ref="E248" authorId="0" shapeId="0">
      <text>
        <t>Loan: Webster, 7 T680 Trucks (March 2023).
Formula: MAX(0, Opening * AnnualRate / 12)</t>
      </text>
    </comment>
    <comment ref="F248" authorId="0" shapeId="0">
      <text>
        <t>Loan: Webster, 7 T680 Trucks (March 2023).
Formula: MAX(0, MIN(Opening, Payment - Interest))</t>
      </text>
    </comment>
    <comment ref="G248" authorId="0" shapeId="0">
      <text>
        <t>Loan: Webster, 7 T680 Trucks (March 2023).
Formula: MAX(0, Opening - Principal)</t>
      </text>
    </comment>
    <comment ref="D249" authorId="0" shapeId="0">
      <text>
        <t>Links to: _Webster row 248 - Prior Closing Balance</t>
      </text>
    </comment>
    <comment ref="E249" authorId="0" shapeId="0">
      <text>
        <t>Loan: Webster, 7 T680 Trucks (March 2023).
Formula: MAX(0, Opening * AnnualRate / 12)</t>
      </text>
    </comment>
    <comment ref="F249" authorId="0" shapeId="0">
      <text>
        <t>Loan: Webster, 7 T680 Trucks (March 2023).
Formula: MAX(0, MIN(Opening, Payment - Interest))</t>
      </text>
    </comment>
    <comment ref="G249" authorId="0" shapeId="0">
      <text>
        <t>Loan: Webster, 7 T680 Trucks (March 2023).
Formula: MAX(0, Opening - Principal)</t>
      </text>
    </comment>
    <comment ref="D250" authorId="0" shapeId="0">
      <text>
        <t>Links to: _Webster row 249 - Prior Closing Balance</t>
      </text>
    </comment>
    <comment ref="E250" authorId="0" shapeId="0">
      <text>
        <t>Loan: Webster, 7 T680 Trucks (March 2023).
Formula: MAX(0, Opening * AnnualRate / 12)</t>
      </text>
    </comment>
    <comment ref="F250" authorId="0" shapeId="0">
      <text>
        <t>Loan: Webster, 7 T680 Trucks (March 2023).
Formula: MAX(0, MIN(Opening, Payment - Interest))</t>
      </text>
    </comment>
    <comment ref="G250" authorId="0" shapeId="0">
      <text>
        <t>Loan: Webster, 7 T680 Trucks (March 2023).
Formula: MAX(0, Opening - Principal)</t>
      </text>
    </comment>
    <comment ref="D251" authorId="0" shapeId="0">
      <text>
        <t>Links to: _Webster row 250 - Prior Closing Balance</t>
      </text>
    </comment>
    <comment ref="E251" authorId="0" shapeId="0">
      <text>
        <t>Loan: Webster, 7 T680 Trucks (March 2023).
Formula: MAX(0, Opening * AnnualRate / 12)</t>
      </text>
    </comment>
    <comment ref="F251" authorId="0" shapeId="0">
      <text>
        <t>Loan: Webster, 7 T680 Trucks (March 2023).
Formula: MAX(0, MIN(Opening, Payment - Interest))</t>
      </text>
    </comment>
    <comment ref="G251" authorId="0" shapeId="0">
      <text>
        <t>Loan: Webster, 7 T680 Trucks (March 2023).
Formula: MAX(0, Opening - Principal)</t>
      </text>
    </comment>
    <comment ref="D252" authorId="0" shapeId="0">
      <text>
        <t>Links to: _Webster row 251 - Prior Closing Balance</t>
      </text>
    </comment>
    <comment ref="E252" authorId="0" shapeId="0">
      <text>
        <t>Loan: Webster, 7 T680 Trucks (March 2023).
Formula: MAX(0, Opening * AnnualRate / 12)</t>
      </text>
    </comment>
    <comment ref="F252" authorId="0" shapeId="0">
      <text>
        <t>Loan: Webster, 7 T680 Trucks (March 2023).
Formula: MAX(0, MIN(Opening, Payment - Interest))</t>
      </text>
    </comment>
    <comment ref="G252" authorId="0" shapeId="0">
      <text>
        <t>Loan: Webster, 7 T680 Trucks (March 2023).
Formula: MAX(0, Opening - Principal)</t>
      </text>
    </comment>
    <comment ref="D253" authorId="0" shapeId="0">
      <text>
        <t>Links to: _Webster row 252 - Prior Closing Balance</t>
      </text>
    </comment>
    <comment ref="E253" authorId="0" shapeId="0">
      <text>
        <t>Loan: Webster, 7 T680 Trucks (March 2023).
Formula: MAX(0, Opening * AnnualRate / 12)</t>
      </text>
    </comment>
    <comment ref="F253" authorId="0" shapeId="0">
      <text>
        <t>Loan: Webster, 7 T680 Trucks (March 2023).
Formula: MAX(0, MIN(Opening, Payment - Interest))</t>
      </text>
    </comment>
    <comment ref="G253" authorId="0" shapeId="0">
      <text>
        <t>Loan: Webster, 7 T680 Trucks (March 2023).
Formula: MAX(0, Opening - Principal)</t>
      </text>
    </comment>
    <comment ref="D254" authorId="0" shapeId="0">
      <text>
        <t>Links to: _Webster row 253 - Prior Closing Balance</t>
      </text>
    </comment>
    <comment ref="E254" authorId="0" shapeId="0">
      <text>
        <t>Loan: Webster, 7 T680 Trucks (March 2023).
Formula: MAX(0, Opening * AnnualRate / 12)</t>
      </text>
    </comment>
    <comment ref="F254" authorId="0" shapeId="0">
      <text>
        <t>Loan: Webster, 7 T680 Trucks (March 2023).
Formula: MAX(0, MIN(Opening, Payment - Interest))</t>
      </text>
    </comment>
    <comment ref="G254" authorId="0" shapeId="0">
      <text>
        <t>Loan: Webster, 7 T680 Trucks (March 2023).
Formula: MAX(0, Opening - Principal)</t>
      </text>
    </comment>
    <comment ref="D255" authorId="0" shapeId="0">
      <text>
        <t>Links to: _Webster row 254 - Prior Closing Balance</t>
      </text>
    </comment>
    <comment ref="E255" authorId="0" shapeId="0">
      <text>
        <t>Loan: Webster, 7 T680 Trucks (March 2023).
Formula: MAX(0, Opening * AnnualRate / 12)</t>
      </text>
    </comment>
    <comment ref="F255" authorId="0" shapeId="0">
      <text>
        <t>Loan: Webster, 7 T680 Trucks (March 2023).
Formula: MAX(0, MIN(Opening, Payment - Interest))</t>
      </text>
    </comment>
    <comment ref="G255" authorId="0" shapeId="0">
      <text>
        <t>Loan: Webster, 7 T680 Trucks (March 2023).
Formula: MAX(0, Opening - Principal)</t>
      </text>
    </comment>
    <comment ref="D256" authorId="0" shapeId="0">
      <text>
        <t>Links to: _Webster row 255 - Prior Closing Balance</t>
      </text>
    </comment>
    <comment ref="E256" authorId="0" shapeId="0">
      <text>
        <t>Loan: Webster, 7 T680 Trucks (March 2023).
Formula: MAX(0, Opening * AnnualRate / 12)</t>
      </text>
    </comment>
    <comment ref="F256" authorId="0" shapeId="0">
      <text>
        <t>Loan: Webster, 7 T680 Trucks (March 2023).
Formula: MAX(0, MIN(Opening, Payment - Interest))</t>
      </text>
    </comment>
    <comment ref="G256" authorId="0" shapeId="0">
      <text>
        <t>Loan: Webster, 7 T680 Trucks (March 2023).
Formula: MAX(0, Opening - Principal)</t>
      </text>
    </comment>
    <comment ref="D257" authorId="0" shapeId="0">
      <text>
        <t>Links to: _Webster row 256 - Prior Closing Balance</t>
      </text>
    </comment>
    <comment ref="E257" authorId="0" shapeId="0">
      <text>
        <t>Loan: Webster, 7 T680 Trucks (March 2023).
Formula: MAX(0, Opening * AnnualRate / 12)</t>
      </text>
    </comment>
    <comment ref="F257" authorId="0" shapeId="0">
      <text>
        <t>Loan: Webster, 7 T680 Trucks (March 2023).
Formula: MAX(0, MIN(Opening, Payment - Interest))</t>
      </text>
    </comment>
    <comment ref="G257" authorId="0" shapeId="0">
      <text>
        <t>Loan: Webster, 7 T680 Trucks (March 2023).
Formula: MAX(0, Opening - Principal)</t>
      </text>
    </comment>
    <comment ref="D258" authorId="0" shapeId="0">
      <text>
        <t>Links to: _Webster row 257 - Prior Closing Balance</t>
      </text>
    </comment>
    <comment ref="E258" authorId="0" shapeId="0">
      <text>
        <t>Loan: Webster, 7 T680 Trucks (March 2023).
Formula: MAX(0, Opening * AnnualRate / 12)</t>
      </text>
    </comment>
    <comment ref="F258" authorId="0" shapeId="0">
      <text>
        <t>Loan: Webster, 7 T680 Trucks (March 2023).
Formula: MAX(0, MIN(Opening, Payment - Interest))</t>
      </text>
    </comment>
    <comment ref="G258" authorId="0" shapeId="0">
      <text>
        <t>Loan: Webster, 7 T680 Trucks (March 2023).
Formula: MAX(0, Opening - Principal)</t>
      </text>
    </comment>
    <comment ref="E259" authorId="0" shapeId="0">
      <text>
        <t>Sum of rows 221-258: Interest payments</t>
      </text>
    </comment>
    <comment ref="F259" authorId="0" shapeId="0">
      <text>
        <t>Sum of rows 221-258: Principal payments</t>
      </text>
    </comment>
    <comment ref="A262" authorId="0" shapeId="0">
      <text>
        <t>Loan: Webster Capital Finance, AMORTIZING.
Source: Meiborg_Debt_Schedule_202511.xlsx</t>
      </text>
    </comment>
    <comment ref="C263" authorId="0" shapeId="0">
      <text>
        <t>Source: loans.md - 25 Trailers (April 2023)
Extracted: 2025-11-30</t>
      </text>
    </comment>
    <comment ref="C264" authorId="0" shapeId="0">
      <text>
        <t>Source: loans.md - 25 Trailers (April 2023)
Extracted: 2025-11-30</t>
      </text>
    </comment>
    <comment ref="C265" authorId="0" shapeId="0">
      <text>
        <t>Source: loans.md - 25 Trailers (April 2023)
Extracted: 2025-11-30</t>
      </text>
    </comment>
    <comment ref="C266" authorId="0" shapeId="0">
      <text>
        <t>Source: loans.md - 25 Trailers (April 2023)
Extracted: 2025-11-30</t>
      </text>
    </comment>
    <comment ref="C267" authorId="0" shapeId="0">
      <text>
        <t>Source: loans.md - 25 Trailers (April 2023)
Extracted: 2025-11-30</t>
      </text>
    </comment>
    <comment ref="C268" authorId="0" shapeId="0">
      <text>
        <t>Source: loans.md - 25 Trailers (April 2023)
Extracted: 2025-11-30</t>
      </text>
    </comment>
    <comment ref="C269" authorId="0" shapeId="0">
      <text>
        <t>Source: loans.md - 25 Trailers (April 2023)
Extracted: 2025-11-30</t>
      </text>
    </comment>
    <comment ref="C270" authorId="0" shapeId="0">
      <text>
        <t>Source: loans.md - 25 Trailers (April 2023)
Extracted: 2025-11-30</t>
      </text>
    </comment>
    <comment ref="C271" authorId="0" shapeId="0">
      <text>
        <t>Source: loans.md - 25 Trailers (April 2023)
Extracted: 2025-11-30</t>
      </text>
    </comment>
    <comment ref="C272" authorId="0" shapeId="0">
      <text>
        <t>Source: loans.md - 25 Trailers (April 2023)
Extracted: 2025-11-30</t>
      </text>
    </comment>
    <comment ref="D275" authorId="0" shapeId="0">
      <text>
        <t>Source: loans.md - Remaining Balance
Extracted: 2025-11-30</t>
      </text>
    </comment>
    <comment ref="E275" authorId="0" shapeId="0">
      <text>
        <t>Loan: Webster, 25 Trailers (April 2023).
Formula: MAX(0, Opening * AnnualRate / 12)</t>
      </text>
    </comment>
    <comment ref="F275" authorId="0" shapeId="0">
      <text>
        <t>Loan: Webster, 25 Trailers (April 2023).
Formula: MAX(0, MIN(Opening, Payment - Interest))</t>
      </text>
    </comment>
    <comment ref="G275" authorId="0" shapeId="0">
      <text>
        <t>Loan: Webster, 25 Trailers (April 2023).
Formula: MAX(0, Opening - Principal)</t>
      </text>
    </comment>
    <comment ref="D276" authorId="0" shapeId="0">
      <text>
        <t>Links to: _Webster row 275 - Prior Closing Balance</t>
      </text>
    </comment>
    <comment ref="E276" authorId="0" shapeId="0">
      <text>
        <t>Loan: Webster, 25 Trailers (April 2023).
Formula: MAX(0, Opening * AnnualRate / 12)</t>
      </text>
    </comment>
    <comment ref="F276" authorId="0" shapeId="0">
      <text>
        <t>Loan: Webster, 25 Trailers (April 2023).
Formula: MAX(0, MIN(Opening, Payment - Interest))</t>
      </text>
    </comment>
    <comment ref="G276" authorId="0" shapeId="0">
      <text>
        <t>Loan: Webster, 25 Trailers (April 2023).
Formula: MAX(0, Opening - Principal)</t>
      </text>
    </comment>
    <comment ref="D277" authorId="0" shapeId="0">
      <text>
        <t>Links to: _Webster row 276 - Prior Closing Balance</t>
      </text>
    </comment>
    <comment ref="E277" authorId="0" shapeId="0">
      <text>
        <t>Loan: Webster, 25 Trailers (April 2023).
Formula: MAX(0, Opening * AnnualRate / 12)</t>
      </text>
    </comment>
    <comment ref="F277" authorId="0" shapeId="0">
      <text>
        <t>Loan: Webster, 25 Trailers (April 2023).
Formula: MAX(0, MIN(Opening, Payment - Interest))</t>
      </text>
    </comment>
    <comment ref="G277" authorId="0" shapeId="0">
      <text>
        <t>Loan: Webster, 25 Trailers (April 2023).
Formula: MAX(0, Opening - Principal)</t>
      </text>
    </comment>
    <comment ref="D278" authorId="0" shapeId="0">
      <text>
        <t>Links to: _Webster row 277 - Prior Closing Balance</t>
      </text>
    </comment>
    <comment ref="E278" authorId="0" shapeId="0">
      <text>
        <t>Loan: Webster, 25 Trailers (April 2023).
Formula: MAX(0, Opening * AnnualRate / 12)</t>
      </text>
    </comment>
    <comment ref="F278" authorId="0" shapeId="0">
      <text>
        <t>Loan: Webster, 25 Trailers (April 2023).
Formula: MAX(0, MIN(Opening, Payment - Interest))</t>
      </text>
    </comment>
    <comment ref="G278" authorId="0" shapeId="0">
      <text>
        <t>Loan: Webster, 25 Trailers (April 2023).
Formula: MAX(0, Opening - Principal)</t>
      </text>
    </comment>
    <comment ref="D279" authorId="0" shapeId="0">
      <text>
        <t>Links to: _Webster row 278 - Prior Closing Balance</t>
      </text>
    </comment>
    <comment ref="E279" authorId="0" shapeId="0">
      <text>
        <t>Loan: Webster, 25 Trailers (April 2023).
Formula: MAX(0, Opening * AnnualRate / 12)</t>
      </text>
    </comment>
    <comment ref="F279" authorId="0" shapeId="0">
      <text>
        <t>Loan: Webster, 25 Trailers (April 2023).
Formula: MAX(0, MIN(Opening, Payment - Interest))</t>
      </text>
    </comment>
    <comment ref="G279" authorId="0" shapeId="0">
      <text>
        <t>Loan: Webster, 25 Trailers (April 2023).
Formula: MAX(0, Opening - Principal)</t>
      </text>
    </comment>
    <comment ref="D280" authorId="0" shapeId="0">
      <text>
        <t>Links to: _Webster row 279 - Prior Closing Balance</t>
      </text>
    </comment>
    <comment ref="E280" authorId="0" shapeId="0">
      <text>
        <t>Loan: Webster, 25 Trailers (April 2023).
Formula: MAX(0, Opening * AnnualRate / 12)</t>
      </text>
    </comment>
    <comment ref="F280" authorId="0" shapeId="0">
      <text>
        <t>Loan: Webster, 25 Trailers (April 2023).
Formula: MAX(0, MIN(Opening, Payment - Interest))</t>
      </text>
    </comment>
    <comment ref="G280" authorId="0" shapeId="0">
      <text>
        <t>Loan: Webster, 25 Trailers (April 2023).
Formula: MAX(0, Opening - Principal)</t>
      </text>
    </comment>
    <comment ref="D281" authorId="0" shapeId="0">
      <text>
        <t>Links to: _Webster row 280 - Prior Closing Balance</t>
      </text>
    </comment>
    <comment ref="E281" authorId="0" shapeId="0">
      <text>
        <t>Loan: Webster, 25 Trailers (April 2023).
Formula: MAX(0, Opening * AnnualRate / 12)</t>
      </text>
    </comment>
    <comment ref="F281" authorId="0" shapeId="0">
      <text>
        <t>Loan: Webster, 25 Trailers (April 2023).
Formula: MAX(0, MIN(Opening, Payment - Interest))</t>
      </text>
    </comment>
    <comment ref="G281" authorId="0" shapeId="0">
      <text>
        <t>Loan: Webster, 25 Trailers (April 2023).
Formula: MAX(0, Opening - Principal)</t>
      </text>
    </comment>
    <comment ref="D282" authorId="0" shapeId="0">
      <text>
        <t>Links to: _Webster row 281 - Prior Closing Balance</t>
      </text>
    </comment>
    <comment ref="E282" authorId="0" shapeId="0">
      <text>
        <t>Loan: Webster, 25 Trailers (April 2023).
Formula: MAX(0, Opening * AnnualRate / 12)</t>
      </text>
    </comment>
    <comment ref="F282" authorId="0" shapeId="0">
      <text>
        <t>Loan: Webster, 25 Trailers (April 2023).
Formula: MAX(0, MIN(Opening, Payment - Interest))</t>
      </text>
    </comment>
    <comment ref="G282" authorId="0" shapeId="0">
      <text>
        <t>Loan: Webster, 25 Trailers (April 2023).
Formula: MAX(0, Opening - Principal)</t>
      </text>
    </comment>
    <comment ref="D283" authorId="0" shapeId="0">
      <text>
        <t>Links to: _Webster row 282 - Prior Closing Balance</t>
      </text>
    </comment>
    <comment ref="E283" authorId="0" shapeId="0">
      <text>
        <t>Loan: Webster, 25 Trailers (April 2023).
Formula: MAX(0, Opening * AnnualRate / 12)</t>
      </text>
    </comment>
    <comment ref="F283" authorId="0" shapeId="0">
      <text>
        <t>Loan: Webster, 25 Trailers (April 2023).
Formula: MAX(0, MIN(Opening, Payment - Interest))</t>
      </text>
    </comment>
    <comment ref="G283" authorId="0" shapeId="0">
      <text>
        <t>Loan: Webster, 25 Trailers (April 2023).
Formula: MAX(0, Opening - Principal)</t>
      </text>
    </comment>
    <comment ref="D284" authorId="0" shapeId="0">
      <text>
        <t>Links to: _Webster row 283 - Prior Closing Balance</t>
      </text>
    </comment>
    <comment ref="E284" authorId="0" shapeId="0">
      <text>
        <t>Loan: Webster, 25 Trailers (April 2023).
Formula: MAX(0, Opening * AnnualRate / 12)</t>
      </text>
    </comment>
    <comment ref="F284" authorId="0" shapeId="0">
      <text>
        <t>Loan: Webster, 25 Trailers (April 2023).
Formula: MAX(0, MIN(Opening, Payment - Interest))</t>
      </text>
    </comment>
    <comment ref="G284" authorId="0" shapeId="0">
      <text>
        <t>Loan: Webster, 25 Trailers (April 2023).
Formula: MAX(0, Opening - Principal)</t>
      </text>
    </comment>
    <comment ref="D285" authorId="0" shapeId="0">
      <text>
        <t>Links to: _Webster row 284 - Prior Closing Balance</t>
      </text>
    </comment>
    <comment ref="E285" authorId="0" shapeId="0">
      <text>
        <t>Loan: Webster, 25 Trailers (April 2023).
Formula: MAX(0, Opening * AnnualRate / 12)</t>
      </text>
    </comment>
    <comment ref="F285" authorId="0" shapeId="0">
      <text>
        <t>Loan: Webster, 25 Trailers (April 2023).
Formula: MAX(0, MIN(Opening, Payment - Interest))</t>
      </text>
    </comment>
    <comment ref="G285" authorId="0" shapeId="0">
      <text>
        <t>Loan: Webster, 25 Trailers (April 2023).
Formula: MAX(0, Opening - Principal)</t>
      </text>
    </comment>
    <comment ref="D286" authorId="0" shapeId="0">
      <text>
        <t>Links to: _Webster row 285 - Prior Closing Balance</t>
      </text>
    </comment>
    <comment ref="E286" authorId="0" shapeId="0">
      <text>
        <t>Loan: Webster, 25 Trailers (April 2023).
Formula: MAX(0, Opening * AnnualRate / 12)</t>
      </text>
    </comment>
    <comment ref="F286" authorId="0" shapeId="0">
      <text>
        <t>Loan: Webster, 25 Trailers (April 2023).
Formula: MAX(0, MIN(Opening, Payment - Interest))</t>
      </text>
    </comment>
    <comment ref="G286" authorId="0" shapeId="0">
      <text>
        <t>Loan: Webster, 25 Trailers (April 2023).
Formula: MAX(0, Opening - Principal)</t>
      </text>
    </comment>
    <comment ref="D287" authorId="0" shapeId="0">
      <text>
        <t>Links to: _Webster row 286 - Prior Closing Balance</t>
      </text>
    </comment>
    <comment ref="E287" authorId="0" shapeId="0">
      <text>
        <t>Loan: Webster, 25 Trailers (April 2023).
Formula: MAX(0, Opening * AnnualRate / 12)</t>
      </text>
    </comment>
    <comment ref="F287" authorId="0" shapeId="0">
      <text>
        <t>Loan: Webster, 25 Trailers (April 2023).
Formula: MAX(0, MIN(Opening, Payment - Interest))</t>
      </text>
    </comment>
    <comment ref="G287" authorId="0" shapeId="0">
      <text>
        <t>Loan: Webster, 25 Trailers (April 2023).
Formula: MAX(0, Opening - Principal)</t>
      </text>
    </comment>
    <comment ref="D288" authorId="0" shapeId="0">
      <text>
        <t>Links to: _Webster row 287 - Prior Closing Balance</t>
      </text>
    </comment>
    <comment ref="E288" authorId="0" shapeId="0">
      <text>
        <t>Loan: Webster, 25 Trailers (April 2023).
Formula: MAX(0, Opening * AnnualRate / 12)</t>
      </text>
    </comment>
    <comment ref="F288" authorId="0" shapeId="0">
      <text>
        <t>Loan: Webster, 25 Trailers (April 2023).
Formula: MAX(0, MIN(Opening, Payment - Interest))</t>
      </text>
    </comment>
    <comment ref="G288" authorId="0" shapeId="0">
      <text>
        <t>Loan: Webster, 25 Trailers (April 2023).
Formula: MAX(0, Opening - Principal)</t>
      </text>
    </comment>
    <comment ref="D289" authorId="0" shapeId="0">
      <text>
        <t>Links to: _Webster row 288 - Prior Closing Balance</t>
      </text>
    </comment>
    <comment ref="E289" authorId="0" shapeId="0">
      <text>
        <t>Loan: Webster, 25 Trailers (April 2023).
Formula: MAX(0, Opening * AnnualRate / 12)</t>
      </text>
    </comment>
    <comment ref="F289" authorId="0" shapeId="0">
      <text>
        <t>Loan: Webster, 25 Trailers (April 2023).
Formula: MAX(0, MIN(Opening, Payment - Interest))</t>
      </text>
    </comment>
    <comment ref="G289" authorId="0" shapeId="0">
      <text>
        <t>Loan: Webster, 25 Trailers (April 2023).
Formula: MAX(0, Opening - Principal)</t>
      </text>
    </comment>
    <comment ref="D290" authorId="0" shapeId="0">
      <text>
        <t>Links to: _Webster row 289 - Prior Closing Balance</t>
      </text>
    </comment>
    <comment ref="E290" authorId="0" shapeId="0">
      <text>
        <t>Loan: Webster, 25 Trailers (April 2023).
Formula: MAX(0, Opening * AnnualRate / 12)</t>
      </text>
    </comment>
    <comment ref="F290" authorId="0" shapeId="0">
      <text>
        <t>Loan: Webster, 25 Trailers (April 2023).
Formula: MAX(0, MIN(Opening, Payment - Interest))</t>
      </text>
    </comment>
    <comment ref="G290" authorId="0" shapeId="0">
      <text>
        <t>Loan: Webster, 25 Trailers (April 2023).
Formula: MAX(0, Opening - Principal)</t>
      </text>
    </comment>
    <comment ref="D291" authorId="0" shapeId="0">
      <text>
        <t>Links to: _Webster row 290 - Prior Closing Balance</t>
      </text>
    </comment>
    <comment ref="E291" authorId="0" shapeId="0">
      <text>
        <t>Loan: Webster, 25 Trailers (April 2023).
Formula: MAX(0, Opening * AnnualRate / 12)</t>
      </text>
    </comment>
    <comment ref="F291" authorId="0" shapeId="0">
      <text>
        <t>Loan: Webster, 25 Trailers (April 2023).
Formula: MAX(0, MIN(Opening, Payment - Interest))</t>
      </text>
    </comment>
    <comment ref="G291" authorId="0" shapeId="0">
      <text>
        <t>Loan: Webster, 25 Trailers (April 2023).
Formula: MAX(0, Opening - Principal)</t>
      </text>
    </comment>
    <comment ref="D292" authorId="0" shapeId="0">
      <text>
        <t>Links to: _Webster row 291 - Prior Closing Balance</t>
      </text>
    </comment>
    <comment ref="E292" authorId="0" shapeId="0">
      <text>
        <t>Loan: Webster, 25 Trailers (April 2023).
Formula: MAX(0, Opening * AnnualRate / 12)</t>
      </text>
    </comment>
    <comment ref="F292" authorId="0" shapeId="0">
      <text>
        <t>Loan: Webster, 25 Trailers (April 2023).
Formula: MAX(0, MIN(Opening, Payment - Interest))</t>
      </text>
    </comment>
    <comment ref="G292" authorId="0" shapeId="0">
      <text>
        <t>Loan: Webster, 25 Trailers (April 2023).
Formula: MAX(0, Opening - Principal)</t>
      </text>
    </comment>
    <comment ref="D293" authorId="0" shapeId="0">
      <text>
        <t>Links to: _Webster row 292 - Prior Closing Balance</t>
      </text>
    </comment>
    <comment ref="E293" authorId="0" shapeId="0">
      <text>
        <t>Loan: Webster, 25 Trailers (April 2023).
Formula: MAX(0, Opening * AnnualRate / 12)</t>
      </text>
    </comment>
    <comment ref="F293" authorId="0" shapeId="0">
      <text>
        <t>Loan: Webster, 25 Trailers (April 2023).
Formula: MAX(0, MIN(Opening, Payment - Interest))</t>
      </text>
    </comment>
    <comment ref="G293" authorId="0" shapeId="0">
      <text>
        <t>Loan: Webster, 25 Trailers (April 2023).
Formula: MAX(0, Opening - Principal)</t>
      </text>
    </comment>
    <comment ref="D294" authorId="0" shapeId="0">
      <text>
        <t>Links to: _Webster row 293 - Prior Closing Balance</t>
      </text>
    </comment>
    <comment ref="E294" authorId="0" shapeId="0">
      <text>
        <t>Loan: Webster, 25 Trailers (April 2023).
Formula: MAX(0, Opening * AnnualRate / 12)</t>
      </text>
    </comment>
    <comment ref="F294" authorId="0" shapeId="0">
      <text>
        <t>Loan: Webster, 25 Trailers (April 2023).
Formula: MAX(0, MIN(Opening, Payment - Interest))</t>
      </text>
    </comment>
    <comment ref="G294" authorId="0" shapeId="0">
      <text>
        <t>Loan: Webster, 25 Trailers (April 2023).
Formula: MAX(0, Opening - Principal)</t>
      </text>
    </comment>
    <comment ref="D295" authorId="0" shapeId="0">
      <text>
        <t>Links to: _Webster row 294 - Prior Closing Balance</t>
      </text>
    </comment>
    <comment ref="E295" authorId="0" shapeId="0">
      <text>
        <t>Loan: Webster, 25 Trailers (April 2023).
Formula: MAX(0, Opening * AnnualRate / 12)</t>
      </text>
    </comment>
    <comment ref="F295" authorId="0" shapeId="0">
      <text>
        <t>Loan: Webster, 25 Trailers (April 2023).
Formula: MAX(0, MIN(Opening, Payment - Interest))</t>
      </text>
    </comment>
    <comment ref="G295" authorId="0" shapeId="0">
      <text>
        <t>Loan: Webster, 25 Trailers (April 2023).
Formula: MAX(0, Opening - Principal)</t>
      </text>
    </comment>
    <comment ref="D296" authorId="0" shapeId="0">
      <text>
        <t>Links to: _Webster row 295 - Prior Closing Balance</t>
      </text>
    </comment>
    <comment ref="E296" authorId="0" shapeId="0">
      <text>
        <t>Loan: Webster, 25 Trailers (April 2023).
Formula: MAX(0, Opening * AnnualRate / 12)</t>
      </text>
    </comment>
    <comment ref="F296" authorId="0" shapeId="0">
      <text>
        <t>Loan: Webster, 25 Trailers (April 2023).
Formula: MAX(0, MIN(Opening, Payment - Interest))</t>
      </text>
    </comment>
    <comment ref="G296" authorId="0" shapeId="0">
      <text>
        <t>Loan: Webster, 25 Trailers (April 2023).
Formula: MAX(0, Opening - Principal)</t>
      </text>
    </comment>
    <comment ref="D297" authorId="0" shapeId="0">
      <text>
        <t>Links to: _Webster row 296 - Prior Closing Balance</t>
      </text>
    </comment>
    <comment ref="E297" authorId="0" shapeId="0">
      <text>
        <t>Loan: Webster, 25 Trailers (April 2023).
Formula: MAX(0, Opening * AnnualRate / 12)</t>
      </text>
    </comment>
    <comment ref="F297" authorId="0" shapeId="0">
      <text>
        <t>Loan: Webster, 25 Trailers (April 2023).
Formula: MAX(0, MIN(Opening, Payment - Interest))</t>
      </text>
    </comment>
    <comment ref="G297" authorId="0" shapeId="0">
      <text>
        <t>Loan: Webster, 25 Trailers (April 2023).
Formula: MAX(0, Opening - Principal)</t>
      </text>
    </comment>
    <comment ref="D298" authorId="0" shapeId="0">
      <text>
        <t>Links to: _Webster row 297 - Prior Closing Balance</t>
      </text>
    </comment>
    <comment ref="E298" authorId="0" shapeId="0">
      <text>
        <t>Loan: Webster, 25 Trailers (April 2023).
Formula: MAX(0, Opening * AnnualRate / 12)</t>
      </text>
    </comment>
    <comment ref="F298" authorId="0" shapeId="0">
      <text>
        <t>Loan: Webster, 25 Trailers (April 2023).
Formula: MAX(0, MIN(Opening, Payment - Interest))</t>
      </text>
    </comment>
    <comment ref="G298" authorId="0" shapeId="0">
      <text>
        <t>Loan: Webster, 25 Trailers (April 2023).
Formula: MAX(0, Opening - Principal)</t>
      </text>
    </comment>
    <comment ref="D299" authorId="0" shapeId="0">
      <text>
        <t>Links to: _Webster row 298 - Prior Closing Balance</t>
      </text>
    </comment>
    <comment ref="E299" authorId="0" shapeId="0">
      <text>
        <t>Loan: Webster, 25 Trailers (April 2023).
Formula: MAX(0, Opening * AnnualRate / 12)</t>
      </text>
    </comment>
    <comment ref="F299" authorId="0" shapeId="0">
      <text>
        <t>Loan: Webster, 25 Trailers (April 2023).
Formula: MAX(0, MIN(Opening, Payment - Interest))</t>
      </text>
    </comment>
    <comment ref="G299" authorId="0" shapeId="0">
      <text>
        <t>Loan: Webster, 25 Trailers (April 2023).
Formula: MAX(0, Opening - Principal)</t>
      </text>
    </comment>
    <comment ref="D300" authorId="0" shapeId="0">
      <text>
        <t>Links to: _Webster row 299 - Prior Closing Balance</t>
      </text>
    </comment>
    <comment ref="E300" authorId="0" shapeId="0">
      <text>
        <t>Loan: Webster, 25 Trailers (April 2023).
Formula: MAX(0, Opening * AnnualRate / 12)</t>
      </text>
    </comment>
    <comment ref="F300" authorId="0" shapeId="0">
      <text>
        <t>Loan: Webster, 25 Trailers (April 2023).
Formula: MAX(0, MIN(Opening, Payment - Interest))</t>
      </text>
    </comment>
    <comment ref="G300" authorId="0" shapeId="0">
      <text>
        <t>Loan: Webster, 25 Trailers (April 2023).
Formula: MAX(0, Opening - Principal)</t>
      </text>
    </comment>
    <comment ref="D301" authorId="0" shapeId="0">
      <text>
        <t>Links to: _Webster row 300 - Prior Closing Balance</t>
      </text>
    </comment>
    <comment ref="E301" authorId="0" shapeId="0">
      <text>
        <t>Loan: Webster, 25 Trailers (April 2023).
Formula: MAX(0, Opening * AnnualRate / 12)</t>
      </text>
    </comment>
    <comment ref="F301" authorId="0" shapeId="0">
      <text>
        <t>Loan: Webster, 25 Trailers (April 2023).
Formula: MAX(0, MIN(Opening, Payment - Interest))</t>
      </text>
    </comment>
    <comment ref="G301" authorId="0" shapeId="0">
      <text>
        <t>Loan: Webster, 25 Trailers (April 2023).
Formula: MAX(0, Opening - Principal)</t>
      </text>
    </comment>
    <comment ref="D302" authorId="0" shapeId="0">
      <text>
        <t>Links to: _Webster row 301 - Prior Closing Balance</t>
      </text>
    </comment>
    <comment ref="E302" authorId="0" shapeId="0">
      <text>
        <t>Loan: Webster, 25 Trailers (April 2023).
Formula: MAX(0, Opening * AnnualRate / 12)</t>
      </text>
    </comment>
    <comment ref="F302" authorId="0" shapeId="0">
      <text>
        <t>Loan: Webster, 25 Trailers (April 2023).
Formula: MAX(0, MIN(Opening, Payment - Interest))</t>
      </text>
    </comment>
    <comment ref="G302" authorId="0" shapeId="0">
      <text>
        <t>Loan: Webster, 25 Trailers (April 2023).
Formula: MAX(0, Opening - Principal)</t>
      </text>
    </comment>
    <comment ref="D303" authorId="0" shapeId="0">
      <text>
        <t>Links to: _Webster row 302 - Prior Closing Balance</t>
      </text>
    </comment>
    <comment ref="E303" authorId="0" shapeId="0">
      <text>
        <t>Loan: Webster, 25 Trailers (April 2023).
Formula: MAX(0, Opening * AnnualRate / 12)</t>
      </text>
    </comment>
    <comment ref="F303" authorId="0" shapeId="0">
      <text>
        <t>Loan: Webster, 25 Trailers (April 2023).
Formula: MAX(0, MIN(Opening, Payment - Interest))</t>
      </text>
    </comment>
    <comment ref="G303" authorId="0" shapeId="0">
      <text>
        <t>Loan: Webster, 25 Trailers (April 2023).
Formula: MAX(0, Opening - Principal)</t>
      </text>
    </comment>
    <comment ref="D304" authorId="0" shapeId="0">
      <text>
        <t>Links to: _Webster row 303 - Prior Closing Balance</t>
      </text>
    </comment>
    <comment ref="E304" authorId="0" shapeId="0">
      <text>
        <t>Loan: Webster, 25 Trailers (April 2023).
Formula: MAX(0, Opening * AnnualRate / 12)</t>
      </text>
    </comment>
    <comment ref="F304" authorId="0" shapeId="0">
      <text>
        <t>Loan: Webster, 25 Trailers (April 2023).
Formula: MAX(0, MIN(Opening, Payment - Interest))</t>
      </text>
    </comment>
    <comment ref="G304" authorId="0" shapeId="0">
      <text>
        <t>Loan: Webster, 25 Trailers (April 2023).
Formula: MAX(0, Opening - Principal)</t>
      </text>
    </comment>
    <comment ref="D305" authorId="0" shapeId="0">
      <text>
        <t>Links to: _Webster row 304 - Prior Closing Balance</t>
      </text>
    </comment>
    <comment ref="E305" authorId="0" shapeId="0">
      <text>
        <t>Loan: Webster, 25 Trailers (April 2023).
Formula: MAX(0, Opening * AnnualRate / 12)</t>
      </text>
    </comment>
    <comment ref="F305" authorId="0" shapeId="0">
      <text>
        <t>Loan: Webster, 25 Trailers (April 2023).
Formula: MAX(0, MIN(Opening, Payment - Interest))</t>
      </text>
    </comment>
    <comment ref="G305" authorId="0" shapeId="0">
      <text>
        <t>Loan: Webster, 25 Trailers (April 2023).
Formula: MAX(0, Opening - Principal)</t>
      </text>
    </comment>
    <comment ref="D306" authorId="0" shapeId="0">
      <text>
        <t>Links to: _Webster row 305 - Prior Closing Balance</t>
      </text>
    </comment>
    <comment ref="E306" authorId="0" shapeId="0">
      <text>
        <t>Loan: Webster, 25 Trailers (April 2023).
Formula: MAX(0, Opening * AnnualRate / 12)</t>
      </text>
    </comment>
    <comment ref="F306" authorId="0" shapeId="0">
      <text>
        <t>Loan: Webster, 25 Trailers (April 2023).
Formula: MAX(0, MIN(Opening, Payment - Interest))</t>
      </text>
    </comment>
    <comment ref="G306" authorId="0" shapeId="0">
      <text>
        <t>Loan: Webster, 25 Trailers (April 2023).
Formula: MAX(0, Opening - Principal)</t>
      </text>
    </comment>
    <comment ref="D307" authorId="0" shapeId="0">
      <text>
        <t>Links to: _Webster row 306 - Prior Closing Balance</t>
      </text>
    </comment>
    <comment ref="E307" authorId="0" shapeId="0">
      <text>
        <t>Loan: Webster, 25 Trailers (April 2023).
Formula: MAX(0, Opening * AnnualRate / 12)</t>
      </text>
    </comment>
    <comment ref="F307" authorId="0" shapeId="0">
      <text>
        <t>Loan: Webster, 25 Trailers (April 2023).
Formula: MAX(0, MIN(Opening, Payment - Interest))</t>
      </text>
    </comment>
    <comment ref="G307" authorId="0" shapeId="0">
      <text>
        <t>Loan: Webster, 25 Trailers (April 2023).
Formula: MAX(0, Opening - Principal)</t>
      </text>
    </comment>
    <comment ref="D308" authorId="0" shapeId="0">
      <text>
        <t>Links to: _Webster row 307 - Prior Closing Balance</t>
      </text>
    </comment>
    <comment ref="E308" authorId="0" shapeId="0">
      <text>
        <t>Loan: Webster, 25 Trailers (April 2023).
Formula: MAX(0, Opening * AnnualRate / 12)</t>
      </text>
    </comment>
    <comment ref="F308" authorId="0" shapeId="0">
      <text>
        <t>Loan: Webster, 25 Trailers (April 2023).
Formula: MAX(0, MIN(Opening, Payment - Interest))</t>
      </text>
    </comment>
    <comment ref="G308" authorId="0" shapeId="0">
      <text>
        <t>Loan: Webster, 25 Trailers (April 2023).
Formula: MAX(0, Opening - Principal)</t>
      </text>
    </comment>
    <comment ref="D309" authorId="0" shapeId="0">
      <text>
        <t>Links to: _Webster row 308 - Prior Closing Balance</t>
      </text>
    </comment>
    <comment ref="E309" authorId="0" shapeId="0">
      <text>
        <t>Loan: Webster, 25 Trailers (April 2023).
Formula: MAX(0, Opening * AnnualRate / 12)</t>
      </text>
    </comment>
    <comment ref="F309" authorId="0" shapeId="0">
      <text>
        <t>Loan: Webster, 25 Trailers (April 2023).
Formula: MAX(0, MIN(Opening, Payment - Interest))</t>
      </text>
    </comment>
    <comment ref="G309" authorId="0" shapeId="0">
      <text>
        <t>Loan: Webster, 25 Trailers (April 2023).
Formula: MAX(0, Opening - Principal)</t>
      </text>
    </comment>
    <comment ref="D310" authorId="0" shapeId="0">
      <text>
        <t>Links to: _Webster row 309 - Prior Closing Balance</t>
      </text>
    </comment>
    <comment ref="E310" authorId="0" shapeId="0">
      <text>
        <t>Loan: Webster, 25 Trailers (April 2023).
Formula: MAX(0, Opening * AnnualRate / 12)</t>
      </text>
    </comment>
    <comment ref="F310" authorId="0" shapeId="0">
      <text>
        <t>Loan: Webster, 25 Trailers (April 2023).
Formula: MAX(0, MIN(Opening, Payment - Interest))</t>
      </text>
    </comment>
    <comment ref="G310" authorId="0" shapeId="0">
      <text>
        <t>Loan: Webster, 25 Trailers (April 2023).
Formula: MAX(0, Opening - Principal)</t>
      </text>
    </comment>
    <comment ref="D311" authorId="0" shapeId="0">
      <text>
        <t>Links to: _Webster row 310 - Prior Closing Balance</t>
      </text>
    </comment>
    <comment ref="E311" authorId="0" shapeId="0">
      <text>
        <t>Loan: Webster, 25 Trailers (April 2023).
Formula: MAX(0, Opening * AnnualRate / 12)</t>
      </text>
    </comment>
    <comment ref="F311" authorId="0" shapeId="0">
      <text>
        <t>Loan: Webster, 25 Trailers (April 2023).
Formula: MAX(0, MIN(Opening, Payment - Interest))</t>
      </text>
    </comment>
    <comment ref="G311" authorId="0" shapeId="0">
      <text>
        <t>Loan: Webster, 25 Trailers (April 2023).
Formula: MAX(0, Opening - Principal)</t>
      </text>
    </comment>
    <comment ref="D312" authorId="0" shapeId="0">
      <text>
        <t>Links to: _Webster row 311 - Prior Closing Balance</t>
      </text>
    </comment>
    <comment ref="E312" authorId="0" shapeId="0">
      <text>
        <t>Loan: Webster, 25 Trailers (April 2023).
Formula: MAX(0, Opening * AnnualRate / 12)</t>
      </text>
    </comment>
    <comment ref="F312" authorId="0" shapeId="0">
      <text>
        <t>Loan: Webster, 25 Trailers (April 2023).
Formula: MAX(0, MIN(Opening, Payment - Interest))</t>
      </text>
    </comment>
    <comment ref="G312" authorId="0" shapeId="0">
      <text>
        <t>Loan: Webster, 25 Trailers (April 2023).
Formula: MAX(0, Opening - Principal)</t>
      </text>
    </comment>
    <comment ref="D313" authorId="0" shapeId="0">
      <text>
        <t>Links to: _Webster row 312 - Prior Closing Balance</t>
      </text>
    </comment>
    <comment ref="E313" authorId="0" shapeId="0">
      <text>
        <t>Loan: Webster, 25 Trailers (April 2023).
Formula: MAX(0, Opening * AnnualRate / 12)</t>
      </text>
    </comment>
    <comment ref="F313" authorId="0" shapeId="0">
      <text>
        <t>Loan: Webster, 25 Trailers (April 2023).
Formula: MAX(0, MIN(Opening, Payment - Interest))</t>
      </text>
    </comment>
    <comment ref="G313" authorId="0" shapeId="0">
      <text>
        <t>Loan: Webster, 25 Trailers (April 2023).
Formula: MAX(0, Opening - Principal)</t>
      </text>
    </comment>
    <comment ref="D314" authorId="0" shapeId="0">
      <text>
        <t>Links to: _Webster row 313 - Prior Closing Balance</t>
      </text>
    </comment>
    <comment ref="E314" authorId="0" shapeId="0">
      <text>
        <t>Loan: Webster, 25 Trailers (April 2023).
Formula: MAX(0, Opening * AnnualRate / 12)</t>
      </text>
    </comment>
    <comment ref="F314" authorId="0" shapeId="0">
      <text>
        <t>Loan: Webster, 25 Trailers (April 2023).
Formula: MAX(0, MIN(Opening, Payment - Interest))</t>
      </text>
    </comment>
    <comment ref="G314" authorId="0" shapeId="0">
      <text>
        <t>Loan: Webster, 25 Trailers (April 2023).
Formula: MAX(0, Opening - Principal)</t>
      </text>
    </comment>
    <comment ref="D315" authorId="0" shapeId="0">
      <text>
        <t>Links to: _Webster row 314 - Prior Closing Balance</t>
      </text>
    </comment>
    <comment ref="E315" authorId="0" shapeId="0">
      <text>
        <t>Loan: Webster, 25 Trailers (April 2023).
Formula: MAX(0, Opening * AnnualRate / 12)</t>
      </text>
    </comment>
    <comment ref="F315" authorId="0" shapeId="0">
      <text>
        <t>Loan: Webster, 25 Trailers (April 2023).
Formula: MAX(0, MIN(Opening, Payment - Interest))</t>
      </text>
    </comment>
    <comment ref="G315" authorId="0" shapeId="0">
      <text>
        <t>Loan: Webster, 25 Trailers (April 2023).
Formula: MAX(0, Opening - Principal)</t>
      </text>
    </comment>
    <comment ref="D316" authorId="0" shapeId="0">
      <text>
        <t>Links to: _Webster row 315 - Prior Closing Balance</t>
      </text>
    </comment>
    <comment ref="E316" authorId="0" shapeId="0">
      <text>
        <t>Loan: Webster, 25 Trailers (April 2023).
Formula: MAX(0, Opening * AnnualRate / 12)</t>
      </text>
    </comment>
    <comment ref="F316" authorId="0" shapeId="0">
      <text>
        <t>Loan: Webster, 25 Trailers (April 2023).
Formula: MAX(0, MIN(Opening, Payment - Interest))</t>
      </text>
    </comment>
    <comment ref="G316" authorId="0" shapeId="0">
      <text>
        <t>Loan: Webster, 25 Trailers (April 2023).
Formula: MAX(0, Opening - Principal)</t>
      </text>
    </comment>
    <comment ref="D317" authorId="0" shapeId="0">
      <text>
        <t>Links to: _Webster row 316 - Prior Closing Balance</t>
      </text>
    </comment>
    <comment ref="E317" authorId="0" shapeId="0">
      <text>
        <t>Loan: Webster, 25 Trailers (April 2023).
Formula: MAX(0, Opening * AnnualRate / 12)</t>
      </text>
    </comment>
    <comment ref="F317" authorId="0" shapeId="0">
      <text>
        <t>Loan: Webster, 25 Trailers (April 2023).
Formula: MAX(0, MIN(Opening, Payment - Interest))</t>
      </text>
    </comment>
    <comment ref="G317" authorId="0" shapeId="0">
      <text>
        <t>Loan: Webster, 25 Trailers (April 2023).
Formula: MAX(0, Opening - Principal)</t>
      </text>
    </comment>
    <comment ref="D318" authorId="0" shapeId="0">
      <text>
        <t>Links to: _Webster row 317 - Prior Closing Balance</t>
      </text>
    </comment>
    <comment ref="E318" authorId="0" shapeId="0">
      <text>
        <t>Loan: Webster, 25 Trailers (April 2023).
Formula: MAX(0, Opening * AnnualRate / 12)</t>
      </text>
    </comment>
    <comment ref="F318" authorId="0" shapeId="0">
      <text>
        <t>Loan: Webster, 25 Trailers (April 2023).
Formula: MAX(0, MIN(Opening, Payment - Interest))</t>
      </text>
    </comment>
    <comment ref="G318" authorId="0" shapeId="0">
      <text>
        <t>Loan: Webster, 25 Trailers (April 2023).
Formula: MAX(0, Opening - Principal)</t>
      </text>
    </comment>
    <comment ref="D319" authorId="0" shapeId="0">
      <text>
        <t>Links to: _Webster row 318 - Prior Closing Balance</t>
      </text>
    </comment>
    <comment ref="E319" authorId="0" shapeId="0">
      <text>
        <t>Loan: Webster, 25 Trailers (April 2023).
Formula: MAX(0, Opening * AnnualRate / 12)</t>
      </text>
    </comment>
    <comment ref="F319" authorId="0" shapeId="0">
      <text>
        <t>Loan: Webster, 25 Trailers (April 2023).
Formula: MAX(0, MIN(Opening, Payment - Interest))</t>
      </text>
    </comment>
    <comment ref="G319" authorId="0" shapeId="0">
      <text>
        <t>Loan: Webster, 25 Trailers (April 2023).
Formula: MAX(0, Opening - Principal)</t>
      </text>
    </comment>
    <comment ref="D320" authorId="0" shapeId="0">
      <text>
        <t>Links to: _Webster row 319 - Prior Closing Balance</t>
      </text>
    </comment>
    <comment ref="E320" authorId="0" shapeId="0">
      <text>
        <t>Loan: Webster, 25 Trailers (April 2023).
Formula: MAX(0, Opening * AnnualRate / 12)</t>
      </text>
    </comment>
    <comment ref="F320" authorId="0" shapeId="0">
      <text>
        <t>Loan: Webster, 25 Trailers (April 2023).
Formula: MAX(0, MIN(Opening, Payment - Interest))</t>
      </text>
    </comment>
    <comment ref="G320" authorId="0" shapeId="0">
      <text>
        <t>Loan: Webster, 25 Trailers (April 2023).
Formula: MAX(0, Opening - Principal)</t>
      </text>
    </comment>
    <comment ref="D321" authorId="0" shapeId="0">
      <text>
        <t>Links to: _Webster row 320 - Prior Closing Balance</t>
      </text>
    </comment>
    <comment ref="E321" authorId="0" shapeId="0">
      <text>
        <t>Loan: Webster, 25 Trailers (April 2023).
Formula: MAX(0, Opening * AnnualRate / 12)</t>
      </text>
    </comment>
    <comment ref="F321" authorId="0" shapeId="0">
      <text>
        <t>Loan: Webster, 25 Trailers (April 2023).
Formula: MAX(0, MIN(Opening, Payment - Interest))</t>
      </text>
    </comment>
    <comment ref="G321" authorId="0" shapeId="0">
      <text>
        <t>Loan: Webster, 25 Trailers (April 2023).
Formula: MAX(0, Opening - Principal)</t>
      </text>
    </comment>
    <comment ref="D322" authorId="0" shapeId="0">
      <text>
        <t>Links to: _Webster row 321 - Prior Closing Balance</t>
      </text>
    </comment>
    <comment ref="E322" authorId="0" shapeId="0">
      <text>
        <t>Loan: Webster, 25 Trailers (April 2023).
Formula: MAX(0, Opening * AnnualRate / 12)</t>
      </text>
    </comment>
    <comment ref="F322" authorId="0" shapeId="0">
      <text>
        <t>Loan: Webster, 25 Trailers (April 2023).
Formula: MAX(0, MIN(Opening, Payment - Interest))</t>
      </text>
    </comment>
    <comment ref="G322" authorId="0" shapeId="0">
      <text>
        <t>Loan: Webster, 25 Trailers (April 2023).
Formula: MAX(0, Opening - Principal)</t>
      </text>
    </comment>
    <comment ref="D323" authorId="0" shapeId="0">
      <text>
        <t>Links to: _Webster row 322 - Prior Closing Balance</t>
      </text>
    </comment>
    <comment ref="E323" authorId="0" shapeId="0">
      <text>
        <t>Loan: Webster, 25 Trailers (April 2023).
Formula: MAX(0, Opening * AnnualRate / 12)</t>
      </text>
    </comment>
    <comment ref="F323" authorId="0" shapeId="0">
      <text>
        <t>Loan: Webster, 25 Trailers (April 2023).
Formula: MAX(0, MIN(Opening, Payment - Interest))</t>
      </text>
    </comment>
    <comment ref="G323" authorId="0" shapeId="0">
      <text>
        <t>Loan: Webster, 25 Trailers (April 2023).
Formula: MAX(0, Opening - Principal)</t>
      </text>
    </comment>
    <comment ref="D324" authorId="0" shapeId="0">
      <text>
        <t>Links to: _Webster row 323 - Prior Closing Balance</t>
      </text>
    </comment>
    <comment ref="E324" authorId="0" shapeId="0">
      <text>
        <t>Loan: Webster, 25 Trailers (April 2023).
Formula: MAX(0, Opening * AnnualRate / 12)</t>
      </text>
    </comment>
    <comment ref="F324" authorId="0" shapeId="0">
      <text>
        <t>Loan: Webster, 25 Trailers (April 2023).
Formula: MAX(0, MIN(Opening, Payment - Interest))</t>
      </text>
    </comment>
    <comment ref="G324" authorId="0" shapeId="0">
      <text>
        <t>Loan: Webster, 25 Trailers (April 2023).
Formula: MAX(0, Opening - Principal)</t>
      </text>
    </comment>
    <comment ref="D325" authorId="0" shapeId="0">
      <text>
        <t>Links to: _Webster row 324 - Prior Closing Balance</t>
      </text>
    </comment>
    <comment ref="E325" authorId="0" shapeId="0">
      <text>
        <t>Loan: Webster, 25 Trailers (April 2023).
Formula: MAX(0, Opening * AnnualRate / 12)</t>
      </text>
    </comment>
    <comment ref="F325" authorId="0" shapeId="0">
      <text>
        <t>Loan: Webster, 25 Trailers (April 2023).
Formula: MAX(0, MIN(Opening, Payment - Interest))</t>
      </text>
    </comment>
    <comment ref="G325" authorId="0" shapeId="0">
      <text>
        <t>Loan: Webster, 25 Trailers (April 2023).
Formula: MAX(0, Opening - Principal)</t>
      </text>
    </comment>
    <comment ref="D326" authorId="0" shapeId="0">
      <text>
        <t>Links to: _Webster row 325 - Prior Closing Balance</t>
      </text>
    </comment>
    <comment ref="E326" authorId="0" shapeId="0">
      <text>
        <t>Loan: Webster, 25 Trailers (April 2023).
Formula: MAX(0, Opening * AnnualRate / 12)</t>
      </text>
    </comment>
    <comment ref="F326" authorId="0" shapeId="0">
      <text>
        <t>Loan: Webster, 25 Trailers (April 2023).
Formula: MAX(0, MIN(Opening, Payment - Interest))</t>
      </text>
    </comment>
    <comment ref="G326" authorId="0" shapeId="0">
      <text>
        <t>Loan: Webster, 25 Trailers (April 2023).
Formula: MAX(0, Opening - Principal)</t>
      </text>
    </comment>
    <comment ref="D327" authorId="0" shapeId="0">
      <text>
        <t>Links to: _Webster row 326 - Prior Closing Balance</t>
      </text>
    </comment>
    <comment ref="E327" authorId="0" shapeId="0">
      <text>
        <t>Loan: Webster, 25 Trailers (April 2023).
Formula: MAX(0, Opening * AnnualRate / 12)</t>
      </text>
    </comment>
    <comment ref="F327" authorId="0" shapeId="0">
      <text>
        <t>Loan: Webster, 25 Trailers (April 2023).
Formula: MAX(0, MIN(Opening, Payment - Interest))</t>
      </text>
    </comment>
    <comment ref="G327" authorId="0" shapeId="0">
      <text>
        <t>Loan: Webster, 25 Trailers (April 2023).
Formula: MAX(0, Opening - Principal)</t>
      </text>
    </comment>
    <comment ref="D328" authorId="0" shapeId="0">
      <text>
        <t>Links to: _Webster row 327 - Prior Closing Balance</t>
      </text>
    </comment>
    <comment ref="E328" authorId="0" shapeId="0">
      <text>
        <t>Loan: Webster, 25 Trailers (April 2023).
Formula: MAX(0, Opening * AnnualRate / 12)</t>
      </text>
    </comment>
    <comment ref="F328" authorId="0" shapeId="0">
      <text>
        <t>Loan: Webster, 25 Trailers (April 2023).
Formula: MAX(0, MIN(Opening, Payment - Interest))</t>
      </text>
    </comment>
    <comment ref="G328" authorId="0" shapeId="0">
      <text>
        <t>Loan: Webster, 25 Trailers (April 2023).
Formula: MAX(0, Opening - Principal)</t>
      </text>
    </comment>
    <comment ref="D329" authorId="0" shapeId="0">
      <text>
        <t>Links to: _Webster row 328 - Prior Closing Balance</t>
      </text>
    </comment>
    <comment ref="E329" authorId="0" shapeId="0">
      <text>
        <t>Loan: Webster, 25 Trailers (April 2023).
Formula: MAX(0, Opening * AnnualRate / 12)</t>
      </text>
    </comment>
    <comment ref="F329" authorId="0" shapeId="0">
      <text>
        <t>Loan: Webster, 25 Trailers (April 2023).
Formula: MAX(0, MIN(Opening, Payment - Interest))</t>
      </text>
    </comment>
    <comment ref="G329" authorId="0" shapeId="0">
      <text>
        <t>Loan: Webster, 25 Trailers (April 2023).
Formula: MAX(0, Opening - Principal)</t>
      </text>
    </comment>
    <comment ref="D330" authorId="0" shapeId="0">
      <text>
        <t>Links to: _Webster row 329 - Prior Closing Balance</t>
      </text>
    </comment>
    <comment ref="E330" authorId="0" shapeId="0">
      <text>
        <t>Loan: Webster, 25 Trailers (April 2023).
Formula: MAX(0, Opening * AnnualRate / 12)</t>
      </text>
    </comment>
    <comment ref="F330" authorId="0" shapeId="0">
      <text>
        <t>Loan: Webster, 25 Trailers (April 2023).
Formula: MAX(0, MIN(Opening, Payment - Interest))</t>
      </text>
    </comment>
    <comment ref="G330" authorId="0" shapeId="0">
      <text>
        <t>Loan: Webster, 25 Trailers (April 2023).
Formula: MAX(0, Opening - Principal)</t>
      </text>
    </comment>
    <comment ref="E331" authorId="0" shapeId="0">
      <text>
        <t>Sum of rows 275-330: Interest payments</t>
      </text>
    </comment>
    <comment ref="F331" authorId="0" shapeId="0">
      <text>
        <t>Sum of rows 275-330: Principal payments</t>
      </text>
    </comment>
  </commentList>
</comments>
</file>

<file path=xl/comments/comment8.xml><?xml version="1.0" encoding="utf-8"?>
<comments xmlns="http://schemas.openxmlformats.org/spreadsheetml/2006/main">
  <authors>
    <author>Model Builder</author>
  </authors>
  <commentList>
    <comment ref="B2" authorId="0" shapeId="0">
      <text>
        <t>Source: Meiborg_Debt_Schedule_202511.xlsx
Extracted: 2026-05-19</t>
      </text>
    </comment>
    <comment ref="B5" authorId="0" shapeId="0">
      <text>
        <t>Source: loans.md - BMO Total Balance: $2,871,888
Extracted: 2026-05-19</t>
      </text>
    </comment>
    <comment ref="B6" authorId="0" shapeId="0">
      <text>
        <t>Source: loans.md - BMO Total Monthly: $111,650.86
Extracted: 2026-05-19</t>
      </text>
    </comment>
    <comment ref="C9" authorId="0" shapeId="0">
      <text>
        <t>Loan: BMO, 25 Trailers (2019). Source: Meiborg_Debt_Schedule_202511.xlsx</t>
      </text>
    </comment>
    <comment ref="C10" authorId="0" shapeId="0">
      <text>
        <t>Loan: BMO, 27 Trailers (2019). Source: Meiborg_Debt_Schedule_202511.xlsx</t>
      </text>
    </comment>
    <comment ref="C11" authorId="0" shapeId="0">
      <text>
        <t>Loan: BMO, 25 Trailers (Sept 2020). Source: Meiborg_Debt_Schedule_202511.xlsx</t>
      </text>
    </comment>
    <comment ref="C12" authorId="0" shapeId="0">
      <text>
        <t>Loan: BMO, 2 T680 Sleepers (July 2022). Source: Meiborg_Debt_Schedule_202511.xlsx</t>
      </text>
    </comment>
    <comment ref="C13" authorId="0" shapeId="0">
      <text>
        <t>Loan: BMO, 5 T680 Sleepers (Aug 2022). Source: Meiborg_Debt_Schedule_202511.xlsx</t>
      </text>
    </comment>
    <comment ref="C14" authorId="0" shapeId="0">
      <text>
        <t>Loan: BMO, 5 T680 Daycabs (May 2023). Source: Meiborg_Debt_Schedule_202511.xlsx</t>
      </text>
    </comment>
    <comment ref="C15" authorId="0" shapeId="0">
      <text>
        <t>Loan: BMO, 1 Peterbilt 579 (May 2023). Source: Meiborg_Debt_Schedule_202511.xlsx</t>
      </text>
    </comment>
    <comment ref="C16" authorId="0" shapeId="0">
      <text>
        <t>Loan: BMO, 3 Peterbilt 579 (June 2023). Source: Meiborg_Debt_Schedule_202511.xlsx</t>
      </text>
    </comment>
    <comment ref="C17" authorId="0" shapeId="0">
      <text>
        <t>Loan: BMO, 1 Peterbilt 579 (July 2023). Source: Meiborg_Debt_Schedule_202511.xlsx</t>
      </text>
    </comment>
    <comment ref="C18" authorId="0" shapeId="0">
      <text>
        <t>Loan: BMO, 6 T680 Sleepers (July 2023). Source: Meiborg_Debt_Schedule_202511.xlsx</t>
      </text>
    </comment>
    <comment ref="C19" authorId="0" shapeId="0">
      <text>
        <t>Sum of rows 9-18: All BMO loan balances</t>
      </text>
    </comment>
    <comment ref="F19" authorId="0" shapeId="0">
      <text>
        <t>Sum of rows 9-18: All BMO monthly payments</t>
      </text>
    </comment>
    <comment ref="B36" authorId="0" shapeId="0">
      <text>
        <t>Source: loans.md - BMO 25 Trailers (2019)
Extracted: 2026-05-19</t>
      </text>
    </comment>
    <comment ref="B37" authorId="0" shapeId="0">
      <text>
        <t>Source: loans.md - BMO 25 Trailers (2019)
Extracted: 2026-05-19</t>
      </text>
    </comment>
    <comment ref="B39" authorId="0" shapeId="0">
      <text>
        <t>Source: loans.md - BMO 25 Trailers (2019)
Extracted: 2026-05-19</t>
      </text>
    </comment>
    <comment ref="C44" authorId="0" shapeId="0">
      <text>
        <t>Loan: BMO, 25 Trailers (2019). Source: Meiborg_Debt_Schedule_202511.xlsx</t>
      </text>
    </comment>
    <comment ref="D44" authorId="0" shapeId="0">
      <text>
        <t>Loan: BMO, 25 Trailers (2019). Interest = Opening * 3.80% / 12</t>
      </text>
    </comment>
    <comment ref="E44" authorId="0" shapeId="0">
      <text>
        <t>Loan: BMO, 25 Trailers (2019). Principal = MIN(Opening, Payment - Interest)</t>
      </text>
    </comment>
    <comment ref="F44" authorId="0" shapeId="0">
      <text>
        <t>Loan: BMO, 25 Trailers (2019). Closing = Opening - Principal</t>
      </text>
    </comment>
    <comment ref="C45" authorId="0" shapeId="0">
      <text>
        <t>Loan: BMO, 25 Trailers (2019). Source: Meiborg_Debt_Schedule_202511.xlsx</t>
      </text>
    </comment>
    <comment ref="D45" authorId="0" shapeId="0">
      <text>
        <t>Loan: BMO, 25 Trailers (2019). Interest = Opening * 3.80% / 12</t>
      </text>
    </comment>
    <comment ref="E45" authorId="0" shapeId="0">
      <text>
        <t>Loan: BMO, 25 Trailers (2019). Principal = MIN(Opening, Payment - Interest)</t>
      </text>
    </comment>
    <comment ref="F45" authorId="0" shapeId="0">
      <text>
        <t>Loan: BMO, 25 Trailers (2019). Closing = Opening - Principal</t>
      </text>
    </comment>
    <comment ref="C46" authorId="0" shapeId="0">
      <text>
        <t>Loan: BMO, 25 Trailers (2019). Source: Meiborg_Debt_Schedule_202511.xlsx</t>
      </text>
    </comment>
    <comment ref="D46" authorId="0" shapeId="0">
      <text>
        <t>Loan: BMO, 25 Trailers (2019). Interest = Opening * 3.80% / 12</t>
      </text>
    </comment>
    <comment ref="E46" authorId="0" shapeId="0">
      <text>
        <t>Loan: BMO, 25 Trailers (2019). Principal = MIN(Opening, Payment - Interest)</t>
      </text>
    </comment>
    <comment ref="F46" authorId="0" shapeId="0">
      <text>
        <t>Loan: BMO, 25 Trailers (2019). Closing = Opening - Principal</t>
      </text>
    </comment>
    <comment ref="C47" authorId="0" shapeId="0">
      <text>
        <t>Loan: BMO, 25 Trailers (2019). Source: Meiborg_Debt_Schedule_202511.xlsx</t>
      </text>
    </comment>
    <comment ref="D47" authorId="0" shapeId="0">
      <text>
        <t>Loan: BMO, 25 Trailers (2019). Interest = Opening * 3.80% / 12</t>
      </text>
    </comment>
    <comment ref="E47" authorId="0" shapeId="0">
      <text>
        <t>Loan: BMO, 25 Trailers (2019). Principal = MIN(Opening, Payment - Interest)</t>
      </text>
    </comment>
    <comment ref="F47" authorId="0" shapeId="0">
      <text>
        <t>Loan: BMO, 25 Trailers (2019). Closing = Opening - Principal</t>
      </text>
    </comment>
    <comment ref="C48" authorId="0" shapeId="0">
      <text>
        <t>Loan: BMO, 25 Trailers (2019). Source: Meiborg_Debt_Schedule_202511.xlsx</t>
      </text>
    </comment>
    <comment ref="D48" authorId="0" shapeId="0">
      <text>
        <t>Loan: BMO, 25 Trailers (2019). Interest = Opening * 3.80% / 12</t>
      </text>
    </comment>
    <comment ref="E48" authorId="0" shapeId="0">
      <text>
        <t>Loan: BMO, 25 Trailers (2019). Principal = MIN(Opening, Payment - Interest)</t>
      </text>
    </comment>
    <comment ref="F48" authorId="0" shapeId="0">
      <text>
        <t>Loan: BMO, 25 Trailers (2019). Closing = Opening - Principal</t>
      </text>
    </comment>
    <comment ref="C49" authorId="0" shapeId="0">
      <text>
        <t>Loan: BMO, 25 Trailers (2019). Source: Meiborg_Debt_Schedule_202511.xlsx</t>
      </text>
    </comment>
    <comment ref="D49" authorId="0" shapeId="0">
      <text>
        <t>Loan: BMO, 25 Trailers (2019). Interest = Opening * 3.80% / 12</t>
      </text>
    </comment>
    <comment ref="E49" authorId="0" shapeId="0">
      <text>
        <t>Loan: BMO, 25 Trailers (2019). Principal = MIN(Opening, Payment - Interest)</t>
      </text>
    </comment>
    <comment ref="F49" authorId="0" shapeId="0">
      <text>
        <t>Loan: BMO, 25 Trailers (2019). Closing = Opening - Principal</t>
      </text>
    </comment>
    <comment ref="C50" authorId="0" shapeId="0">
      <text>
        <t>Loan: BMO, 25 Trailers (2019). Source: Meiborg_Debt_Schedule_202511.xlsx</t>
      </text>
    </comment>
    <comment ref="D50" authorId="0" shapeId="0">
      <text>
        <t>Loan: BMO, 25 Trailers (2019). Interest = Opening * 3.80% / 12</t>
      </text>
    </comment>
    <comment ref="E50" authorId="0" shapeId="0">
      <text>
        <t>Loan: BMO, 25 Trailers (2019). Principal = MIN(Opening, Payment - Interest)</t>
      </text>
    </comment>
    <comment ref="F50" authorId="0" shapeId="0">
      <text>
        <t>Loan: BMO, 25 Trailers (2019). Closing = Opening - Principal</t>
      </text>
    </comment>
    <comment ref="C51" authorId="0" shapeId="0">
      <text>
        <t>Loan: BMO, 25 Trailers (2019). Source: Meiborg_Debt_Schedule_202511.xlsx</t>
      </text>
    </comment>
    <comment ref="D51" authorId="0" shapeId="0">
      <text>
        <t>Loan: BMO, 25 Trailers (2019). Interest = Opening * 3.80% / 12</t>
      </text>
    </comment>
    <comment ref="E51" authorId="0" shapeId="0">
      <text>
        <t>Loan: BMO, 25 Trailers (2019). Principal = MIN(Opening, Payment - Interest)</t>
      </text>
    </comment>
    <comment ref="F51" authorId="0" shapeId="0">
      <text>
        <t>Loan: BMO, 25 Trailers (2019). Closing = Opening - Principal</t>
      </text>
    </comment>
    <comment ref="C52" authorId="0" shapeId="0">
      <text>
        <t>Loan: BMO, 25 Trailers (2019). Source: Meiborg_Debt_Schedule_202511.xlsx</t>
      </text>
    </comment>
    <comment ref="D52" authorId="0" shapeId="0">
      <text>
        <t>Loan: BMO, 25 Trailers (2019). Interest = Opening * 3.80% / 12</t>
      </text>
    </comment>
    <comment ref="E52" authorId="0" shapeId="0">
      <text>
        <t>Loan: BMO, 25 Trailers (2019). Principal = MIN(Opening, Payment - Interest)</t>
      </text>
    </comment>
    <comment ref="F52" authorId="0" shapeId="0">
      <text>
        <t>Loan: BMO, 25 Trailers (2019). Closing = Opening - Principal</t>
      </text>
    </comment>
    <comment ref="C53" authorId="0" shapeId="0">
      <text>
        <t>Loan: BMO, 25 Trailers (2019). Source: Meiborg_Debt_Schedule_202511.xlsx</t>
      </text>
    </comment>
    <comment ref="D53" authorId="0" shapeId="0">
      <text>
        <t>Loan: BMO, 25 Trailers (2019). Interest = Opening * 3.80% / 12</t>
      </text>
    </comment>
    <comment ref="E53" authorId="0" shapeId="0">
      <text>
        <t>Loan: BMO, 25 Trailers (2019). Principal = MIN(Opening, Payment - Interest)</t>
      </text>
    </comment>
    <comment ref="F53" authorId="0" shapeId="0">
      <text>
        <t>Loan: BMO, 25 Trailers (2019). Closing = Opening - Principal</t>
      </text>
    </comment>
    <comment ref="D54" authorId="0" shapeId="0">
      <text>
        <t>Sum of rows 44-53: Total interest over remaining term</t>
      </text>
    </comment>
    <comment ref="E54" authorId="0" shapeId="0">
      <text>
        <t>Sum of rows 44-53: Total principal over remaining term</t>
      </text>
    </comment>
    <comment ref="B62" authorId="0" shapeId="0">
      <text>
        <t>Source: loans.md - BMO 27 Trailers (2019)
Extracted: 2026-05-19</t>
      </text>
    </comment>
    <comment ref="B63" authorId="0" shapeId="0">
      <text>
        <t>Source: loans.md - BMO 27 Trailers (2019)
Extracted: 2026-05-19</t>
      </text>
    </comment>
    <comment ref="B65" authorId="0" shapeId="0">
      <text>
        <t>Source: loans.md - BMO 27 Trailers (2019)
Extracted: 2026-05-19</t>
      </text>
    </comment>
    <comment ref="C70" authorId="0" shapeId="0">
      <text>
        <t>Loan: BMO, 27 Trailers (2019). Source: Meiborg_Debt_Schedule_202511.xlsx</t>
      </text>
    </comment>
    <comment ref="D70" authorId="0" shapeId="0">
      <text>
        <t>Loan: BMO, 27 Trailers (2019). Interest = Opening * 3.70% / 12</t>
      </text>
    </comment>
    <comment ref="E70" authorId="0" shapeId="0">
      <text>
        <t>Loan: BMO, 27 Trailers (2019). Principal = MIN(Opening, Payment - Interest)</t>
      </text>
    </comment>
    <comment ref="F70" authorId="0" shapeId="0">
      <text>
        <t>Loan: BMO, 27 Trailers (2019). Closing = Opening - Principal</t>
      </text>
    </comment>
    <comment ref="C71" authorId="0" shapeId="0">
      <text>
        <t>Loan: BMO, 27 Trailers (2019). Source: Meiborg_Debt_Schedule_202511.xlsx</t>
      </text>
    </comment>
    <comment ref="D71" authorId="0" shapeId="0">
      <text>
        <t>Loan: BMO, 27 Trailers (2019). Interest = Opening * 3.70% / 12</t>
      </text>
    </comment>
    <comment ref="E71" authorId="0" shapeId="0">
      <text>
        <t>Loan: BMO, 27 Trailers (2019). Principal = MIN(Opening, Payment - Interest)</t>
      </text>
    </comment>
    <comment ref="F71" authorId="0" shapeId="0">
      <text>
        <t>Loan: BMO, 27 Trailers (2019). Closing = Opening - Principal</t>
      </text>
    </comment>
    <comment ref="C72" authorId="0" shapeId="0">
      <text>
        <t>Loan: BMO, 27 Trailers (2019). Source: Meiborg_Debt_Schedule_202511.xlsx</t>
      </text>
    </comment>
    <comment ref="D72" authorId="0" shapeId="0">
      <text>
        <t>Loan: BMO, 27 Trailers (2019). Interest = Opening * 3.70% / 12</t>
      </text>
    </comment>
    <comment ref="E72" authorId="0" shapeId="0">
      <text>
        <t>Loan: BMO, 27 Trailers (2019). Principal = MIN(Opening, Payment - Interest)</t>
      </text>
    </comment>
    <comment ref="F72" authorId="0" shapeId="0">
      <text>
        <t>Loan: BMO, 27 Trailers (2019). Closing = Opening - Principal</t>
      </text>
    </comment>
    <comment ref="C73" authorId="0" shapeId="0">
      <text>
        <t>Loan: BMO, 27 Trailers (2019). Source: Meiborg_Debt_Schedule_202511.xlsx</t>
      </text>
    </comment>
    <comment ref="D73" authorId="0" shapeId="0">
      <text>
        <t>Loan: BMO, 27 Trailers (2019). Interest = Opening * 3.70% / 12</t>
      </text>
    </comment>
    <comment ref="E73" authorId="0" shapeId="0">
      <text>
        <t>Loan: BMO, 27 Trailers (2019). Principal = MIN(Opening, Payment - Interest)</t>
      </text>
    </comment>
    <comment ref="F73" authorId="0" shapeId="0">
      <text>
        <t>Loan: BMO, 27 Trailers (2019). Closing = Opening - Principal</t>
      </text>
    </comment>
    <comment ref="C74" authorId="0" shapeId="0">
      <text>
        <t>Loan: BMO, 27 Trailers (2019). Source: Meiborg_Debt_Schedule_202511.xlsx</t>
      </text>
    </comment>
    <comment ref="D74" authorId="0" shapeId="0">
      <text>
        <t>Loan: BMO, 27 Trailers (2019). Interest = Opening * 3.70% / 12</t>
      </text>
    </comment>
    <comment ref="E74" authorId="0" shapeId="0">
      <text>
        <t>Loan: BMO, 27 Trailers (2019). Principal = MIN(Opening, Payment - Interest)</t>
      </text>
    </comment>
    <comment ref="F74" authorId="0" shapeId="0">
      <text>
        <t>Loan: BMO, 27 Trailers (2019). Closing = Opening - Principal</t>
      </text>
    </comment>
    <comment ref="C75" authorId="0" shapeId="0">
      <text>
        <t>Loan: BMO, 27 Trailers (2019). Source: Meiborg_Debt_Schedule_202511.xlsx</t>
      </text>
    </comment>
    <comment ref="D75" authorId="0" shapeId="0">
      <text>
        <t>Loan: BMO, 27 Trailers (2019). Interest = Opening * 3.70% / 12</t>
      </text>
    </comment>
    <comment ref="E75" authorId="0" shapeId="0">
      <text>
        <t>Loan: BMO, 27 Trailers (2019). Principal = MIN(Opening, Payment - Interest)</t>
      </text>
    </comment>
    <comment ref="F75" authorId="0" shapeId="0">
      <text>
        <t>Loan: BMO, 27 Trailers (2019). Closing = Opening - Principal</t>
      </text>
    </comment>
    <comment ref="C76" authorId="0" shapeId="0">
      <text>
        <t>Loan: BMO, 27 Trailers (2019). Source: Meiborg_Debt_Schedule_202511.xlsx</t>
      </text>
    </comment>
    <comment ref="D76" authorId="0" shapeId="0">
      <text>
        <t>Loan: BMO, 27 Trailers (2019). Interest = Opening * 3.70% / 12</t>
      </text>
    </comment>
    <comment ref="E76" authorId="0" shapeId="0">
      <text>
        <t>Loan: BMO, 27 Trailers (2019). Principal = MIN(Opening, Payment - Interest)</t>
      </text>
    </comment>
    <comment ref="F76" authorId="0" shapeId="0">
      <text>
        <t>Loan: BMO, 27 Trailers (2019). Closing = Opening - Principal</t>
      </text>
    </comment>
    <comment ref="C77" authorId="0" shapeId="0">
      <text>
        <t>Loan: BMO, 27 Trailers (2019). Source: Meiborg_Debt_Schedule_202511.xlsx</t>
      </text>
    </comment>
    <comment ref="D77" authorId="0" shapeId="0">
      <text>
        <t>Loan: BMO, 27 Trailers (2019). Interest = Opening * 3.70% / 12</t>
      </text>
    </comment>
    <comment ref="E77" authorId="0" shapeId="0">
      <text>
        <t>Loan: BMO, 27 Trailers (2019). Principal = MIN(Opening, Payment - Interest)</t>
      </text>
    </comment>
    <comment ref="F77" authorId="0" shapeId="0">
      <text>
        <t>Loan: BMO, 27 Trailers (2019). Closing = Opening - Principal</t>
      </text>
    </comment>
    <comment ref="C78" authorId="0" shapeId="0">
      <text>
        <t>Loan: BMO, 27 Trailers (2019). Source: Meiborg_Debt_Schedule_202511.xlsx</t>
      </text>
    </comment>
    <comment ref="D78" authorId="0" shapeId="0">
      <text>
        <t>Loan: BMO, 27 Trailers (2019). Interest = Opening * 3.70% / 12</t>
      </text>
    </comment>
    <comment ref="E78" authorId="0" shapeId="0">
      <text>
        <t>Loan: BMO, 27 Trailers (2019). Principal = MIN(Opening, Payment - Interest)</t>
      </text>
    </comment>
    <comment ref="F78" authorId="0" shapeId="0">
      <text>
        <t>Loan: BMO, 27 Trailers (2019). Closing = Opening - Principal</t>
      </text>
    </comment>
    <comment ref="C79" authorId="0" shapeId="0">
      <text>
        <t>Loan: BMO, 27 Trailers (2019). Source: Meiborg_Debt_Schedule_202511.xlsx</t>
      </text>
    </comment>
    <comment ref="D79" authorId="0" shapeId="0">
      <text>
        <t>Loan: BMO, 27 Trailers (2019). Interest = Opening * 3.70% / 12</t>
      </text>
    </comment>
    <comment ref="E79" authorId="0" shapeId="0">
      <text>
        <t>Loan: BMO, 27 Trailers (2019). Principal = MIN(Opening, Payment - Interest)</t>
      </text>
    </comment>
    <comment ref="F79" authorId="0" shapeId="0">
      <text>
        <t>Loan: BMO, 27 Trailers (2019). Closing = Opening - Principal</t>
      </text>
    </comment>
    <comment ref="C80" authorId="0" shapeId="0">
      <text>
        <t>Loan: BMO, 27 Trailers (2019). Source: Meiborg_Debt_Schedule_202511.xlsx</t>
      </text>
    </comment>
    <comment ref="D80" authorId="0" shapeId="0">
      <text>
        <t>Loan: BMO, 27 Trailers (2019). Interest = Opening * 3.70% / 12</t>
      </text>
    </comment>
    <comment ref="E80" authorId="0" shapeId="0">
      <text>
        <t>Loan: BMO, 27 Trailers (2019). Principal = MIN(Opening, Payment - Interest)</t>
      </text>
    </comment>
    <comment ref="F80" authorId="0" shapeId="0">
      <text>
        <t>Loan: BMO, 27 Trailers (2019). Closing = Opening - Principal</t>
      </text>
    </comment>
    <comment ref="C81" authorId="0" shapeId="0">
      <text>
        <t>Loan: BMO, 27 Trailers (2019). Source: Meiborg_Debt_Schedule_202511.xlsx</t>
      </text>
    </comment>
    <comment ref="D81" authorId="0" shapeId="0">
      <text>
        <t>Loan: BMO, 27 Trailers (2019). Interest = Opening * 3.70% / 12</t>
      </text>
    </comment>
    <comment ref="E81" authorId="0" shapeId="0">
      <text>
        <t>Loan: BMO, 27 Trailers (2019). Principal = MIN(Opening, Payment - Interest)</t>
      </text>
    </comment>
    <comment ref="F81" authorId="0" shapeId="0">
      <text>
        <t>Loan: BMO, 27 Trailers (2019). Closing = Opening - Principal</t>
      </text>
    </comment>
    <comment ref="C82" authorId="0" shapeId="0">
      <text>
        <t>Loan: BMO, 27 Trailers (2019). Source: Meiborg_Debt_Schedule_202511.xlsx</t>
      </text>
    </comment>
    <comment ref="D82" authorId="0" shapeId="0">
      <text>
        <t>Loan: BMO, 27 Trailers (2019). Interest = Opening * 3.70% / 12</t>
      </text>
    </comment>
    <comment ref="E82" authorId="0" shapeId="0">
      <text>
        <t>Loan: BMO, 27 Trailers (2019). Principal = MIN(Opening, Payment - Interest)</t>
      </text>
    </comment>
    <comment ref="F82" authorId="0" shapeId="0">
      <text>
        <t>Loan: BMO, 27 Trailers (2019). Closing = Opening - Principal</t>
      </text>
    </comment>
    <comment ref="C83" authorId="0" shapeId="0">
      <text>
        <t>Loan: BMO, 27 Trailers (2019). Source: Meiborg_Debt_Schedule_202511.xlsx</t>
      </text>
    </comment>
    <comment ref="D83" authorId="0" shapeId="0">
      <text>
        <t>Loan: BMO, 27 Trailers (2019). Interest = Opening * 3.70% / 12</t>
      </text>
    </comment>
    <comment ref="E83" authorId="0" shapeId="0">
      <text>
        <t>Loan: BMO, 27 Trailers (2019). Principal = MIN(Opening, Payment - Interest)</t>
      </text>
    </comment>
    <comment ref="F83" authorId="0" shapeId="0">
      <text>
        <t>Loan: BMO, 27 Trailers (2019). Closing = Opening - Principal</t>
      </text>
    </comment>
    <comment ref="D84" authorId="0" shapeId="0">
      <text>
        <t>Sum of rows 70-83: Total interest over remaining term</t>
      </text>
    </comment>
    <comment ref="E84" authorId="0" shapeId="0">
      <text>
        <t>Sum of rows 70-83: Total principal over remaining term</t>
      </text>
    </comment>
    <comment ref="B92" authorId="0" shapeId="0">
      <text>
        <t>Source: loans.md - BMO 25 Trailers (Sept 2020)
Extracted: 2026-05-19</t>
      </text>
    </comment>
    <comment ref="B93" authorId="0" shapeId="0">
      <text>
        <t>Source: loans.md - BMO 25 Trailers (Sept 2020)
Extracted: 2026-05-19</t>
      </text>
    </comment>
    <comment ref="B95" authorId="0" shapeId="0">
      <text>
        <t>Source: loans.md - BMO 25 Trailers (Sept 2020)
Extracted: 2026-05-19</t>
      </text>
    </comment>
    <comment ref="C100" authorId="0" shapeId="0">
      <text>
        <t>Loan: BMO, 25 Trailers (Sept 2020). Source: Meiborg_Debt_Schedule_202511.xlsx</t>
      </text>
    </comment>
    <comment ref="D100" authorId="0" shapeId="0">
      <text>
        <t>Loan: BMO, 25 Trailers (Sept 2020). Interest = Opening * 3.70% / 12</t>
      </text>
    </comment>
    <comment ref="E100" authorId="0" shapeId="0">
      <text>
        <t>Loan: BMO, 25 Trailers (Sept 2020). Principal = MIN(Opening, Payment - Interest)</t>
      </text>
    </comment>
    <comment ref="F100" authorId="0" shapeId="0">
      <text>
        <t>Loan: BMO, 25 Trailers (Sept 2020). Closing = Opening - Principal</t>
      </text>
    </comment>
    <comment ref="C101" authorId="0" shapeId="0">
      <text>
        <t>Loan: BMO, 25 Trailers (Sept 2020). Source: Meiborg_Debt_Schedule_202511.xlsx</t>
      </text>
    </comment>
    <comment ref="D101" authorId="0" shapeId="0">
      <text>
        <t>Loan: BMO, 25 Trailers (Sept 2020). Interest = Opening * 3.70% / 12</t>
      </text>
    </comment>
    <comment ref="E101" authorId="0" shapeId="0">
      <text>
        <t>Loan: BMO, 25 Trailers (Sept 2020). Principal = MIN(Opening, Payment - Interest)</t>
      </text>
    </comment>
    <comment ref="F101" authorId="0" shapeId="0">
      <text>
        <t>Loan: BMO, 25 Trailers (Sept 2020). Closing = Opening - Principal</t>
      </text>
    </comment>
    <comment ref="C102" authorId="0" shapeId="0">
      <text>
        <t>Loan: BMO, 25 Trailers (Sept 2020). Source: Meiborg_Debt_Schedule_202511.xlsx</t>
      </text>
    </comment>
    <comment ref="D102" authorId="0" shapeId="0">
      <text>
        <t>Loan: BMO, 25 Trailers (Sept 2020). Interest = Opening * 3.70% / 12</t>
      </text>
    </comment>
    <comment ref="E102" authorId="0" shapeId="0">
      <text>
        <t>Loan: BMO, 25 Trailers (Sept 2020). Principal = MIN(Opening, Payment - Interest)</t>
      </text>
    </comment>
    <comment ref="F102" authorId="0" shapeId="0">
      <text>
        <t>Loan: BMO, 25 Trailers (Sept 2020). Closing = Opening - Principal</t>
      </text>
    </comment>
    <comment ref="C103" authorId="0" shapeId="0">
      <text>
        <t>Loan: BMO, 25 Trailers (Sept 2020). Source: Meiborg_Debt_Schedule_202511.xlsx</t>
      </text>
    </comment>
    <comment ref="D103" authorId="0" shapeId="0">
      <text>
        <t>Loan: BMO, 25 Trailers (Sept 2020). Interest = Opening * 3.70% / 12</t>
      </text>
    </comment>
    <comment ref="E103" authorId="0" shapeId="0">
      <text>
        <t>Loan: BMO, 25 Trailers (Sept 2020). Principal = MIN(Opening, Payment - Interest)</t>
      </text>
    </comment>
    <comment ref="F103" authorId="0" shapeId="0">
      <text>
        <t>Loan: BMO, 25 Trailers (Sept 2020). Closing = Opening - Principal</t>
      </text>
    </comment>
    <comment ref="C104" authorId="0" shapeId="0">
      <text>
        <t>Loan: BMO, 25 Trailers (Sept 2020). Source: Meiborg_Debt_Schedule_202511.xlsx</t>
      </text>
    </comment>
    <comment ref="D104" authorId="0" shapeId="0">
      <text>
        <t>Loan: BMO, 25 Trailers (Sept 2020). Interest = Opening * 3.70% / 12</t>
      </text>
    </comment>
    <comment ref="E104" authorId="0" shapeId="0">
      <text>
        <t>Loan: BMO, 25 Trailers (Sept 2020). Principal = MIN(Opening, Payment - Interest)</t>
      </text>
    </comment>
    <comment ref="F104" authorId="0" shapeId="0">
      <text>
        <t>Loan: BMO, 25 Trailers (Sept 2020). Closing = Opening - Principal</t>
      </text>
    </comment>
    <comment ref="C105" authorId="0" shapeId="0">
      <text>
        <t>Loan: BMO, 25 Trailers (Sept 2020). Source: Meiborg_Debt_Schedule_202511.xlsx</t>
      </text>
    </comment>
    <comment ref="D105" authorId="0" shapeId="0">
      <text>
        <t>Loan: BMO, 25 Trailers (Sept 2020). Interest = Opening * 3.70% / 12</t>
      </text>
    </comment>
    <comment ref="E105" authorId="0" shapeId="0">
      <text>
        <t>Loan: BMO, 25 Trailers (Sept 2020). Principal = MIN(Opening, Payment - Interest)</t>
      </text>
    </comment>
    <comment ref="F105" authorId="0" shapeId="0">
      <text>
        <t>Loan: BMO, 25 Trailers (Sept 2020). Closing = Opening - Principal</t>
      </text>
    </comment>
    <comment ref="C106" authorId="0" shapeId="0">
      <text>
        <t>Loan: BMO, 25 Trailers (Sept 2020). Source: Meiborg_Debt_Schedule_202511.xlsx</t>
      </text>
    </comment>
    <comment ref="D106" authorId="0" shapeId="0">
      <text>
        <t>Loan: BMO, 25 Trailers (Sept 2020). Interest = Opening * 3.70% / 12</t>
      </text>
    </comment>
    <comment ref="E106" authorId="0" shapeId="0">
      <text>
        <t>Loan: BMO, 25 Trailers (Sept 2020). Principal = MIN(Opening, Payment - Interest)</t>
      </text>
    </comment>
    <comment ref="F106" authorId="0" shapeId="0">
      <text>
        <t>Loan: BMO, 25 Trailers (Sept 2020). Closing = Opening - Principal</t>
      </text>
    </comment>
    <comment ref="C107" authorId="0" shapeId="0">
      <text>
        <t>Loan: BMO, 25 Trailers (Sept 2020). Source: Meiborg_Debt_Schedule_202511.xlsx</t>
      </text>
    </comment>
    <comment ref="D107" authorId="0" shapeId="0">
      <text>
        <t>Loan: BMO, 25 Trailers (Sept 2020). Interest = Opening * 3.70% / 12</t>
      </text>
    </comment>
    <comment ref="E107" authorId="0" shapeId="0">
      <text>
        <t>Loan: BMO, 25 Trailers (Sept 2020). Principal = MIN(Opening, Payment - Interest)</t>
      </text>
    </comment>
    <comment ref="F107" authorId="0" shapeId="0">
      <text>
        <t>Loan: BMO, 25 Trailers (Sept 2020). Closing = Opening - Principal</t>
      </text>
    </comment>
    <comment ref="C108" authorId="0" shapeId="0">
      <text>
        <t>Loan: BMO, 25 Trailers (Sept 2020). Source: Meiborg_Debt_Schedule_202511.xlsx</t>
      </text>
    </comment>
    <comment ref="D108" authorId="0" shapeId="0">
      <text>
        <t>Loan: BMO, 25 Trailers (Sept 2020). Interest = Opening * 3.70% / 12</t>
      </text>
    </comment>
    <comment ref="E108" authorId="0" shapeId="0">
      <text>
        <t>Loan: BMO, 25 Trailers (Sept 2020). Principal = MIN(Opening, Payment - Interest)</t>
      </text>
    </comment>
    <comment ref="F108" authorId="0" shapeId="0">
      <text>
        <t>Loan: BMO, 25 Trailers (Sept 2020). Closing = Opening - Principal</t>
      </text>
    </comment>
    <comment ref="C109" authorId="0" shapeId="0">
      <text>
        <t>Loan: BMO, 25 Trailers (Sept 2020). Source: Meiborg_Debt_Schedule_202511.xlsx</t>
      </text>
    </comment>
    <comment ref="D109" authorId="0" shapeId="0">
      <text>
        <t>Loan: BMO, 25 Trailers (Sept 2020). Interest = Opening * 3.70% / 12</t>
      </text>
    </comment>
    <comment ref="E109" authorId="0" shapeId="0">
      <text>
        <t>Loan: BMO, 25 Trailers (Sept 2020). Principal = MIN(Opening, Payment - Interest)</t>
      </text>
    </comment>
    <comment ref="F109" authorId="0" shapeId="0">
      <text>
        <t>Loan: BMO, 25 Trailers (Sept 2020). Closing = Opening - Principal</t>
      </text>
    </comment>
    <comment ref="C110" authorId="0" shapeId="0">
      <text>
        <t>Loan: BMO, 25 Trailers (Sept 2020). Source: Meiborg_Debt_Schedule_202511.xlsx</t>
      </text>
    </comment>
    <comment ref="D110" authorId="0" shapeId="0">
      <text>
        <t>Loan: BMO, 25 Trailers (Sept 2020). Interest = Opening * 3.70% / 12</t>
      </text>
    </comment>
    <comment ref="E110" authorId="0" shapeId="0">
      <text>
        <t>Loan: BMO, 25 Trailers (Sept 2020). Principal = MIN(Opening, Payment - Interest)</t>
      </text>
    </comment>
    <comment ref="F110" authorId="0" shapeId="0">
      <text>
        <t>Loan: BMO, 25 Trailers (Sept 2020). Closing = Opening - Principal</t>
      </text>
    </comment>
    <comment ref="C111" authorId="0" shapeId="0">
      <text>
        <t>Loan: BMO, 25 Trailers (Sept 2020). Source: Meiborg_Debt_Schedule_202511.xlsx</t>
      </text>
    </comment>
    <comment ref="D111" authorId="0" shapeId="0">
      <text>
        <t>Loan: BMO, 25 Trailers (Sept 2020). Interest = Opening * 3.70% / 12</t>
      </text>
    </comment>
    <comment ref="E111" authorId="0" shapeId="0">
      <text>
        <t>Loan: BMO, 25 Trailers (Sept 2020). Principal = MIN(Opening, Payment - Interest)</t>
      </text>
    </comment>
    <comment ref="F111" authorId="0" shapeId="0">
      <text>
        <t>Loan: BMO, 25 Trailers (Sept 2020). Closing = Opening - Principal</t>
      </text>
    </comment>
    <comment ref="C112" authorId="0" shapeId="0">
      <text>
        <t>Loan: BMO, 25 Trailers (Sept 2020). Source: Meiborg_Debt_Schedule_202511.xlsx</t>
      </text>
    </comment>
    <comment ref="D112" authorId="0" shapeId="0">
      <text>
        <t>Loan: BMO, 25 Trailers (Sept 2020). Interest = Opening * 3.70% / 12</t>
      </text>
    </comment>
    <comment ref="E112" authorId="0" shapeId="0">
      <text>
        <t>Loan: BMO, 25 Trailers (Sept 2020). Principal = MIN(Opening, Payment - Interest)</t>
      </text>
    </comment>
    <comment ref="F112" authorId="0" shapeId="0">
      <text>
        <t>Loan: BMO, 25 Trailers (Sept 2020). Closing = Opening - Principal</t>
      </text>
    </comment>
    <comment ref="C113" authorId="0" shapeId="0">
      <text>
        <t>Loan: BMO, 25 Trailers (Sept 2020). Source: Meiborg_Debt_Schedule_202511.xlsx</t>
      </text>
    </comment>
    <comment ref="D113" authorId="0" shapeId="0">
      <text>
        <t>Loan: BMO, 25 Trailers (Sept 2020). Interest = Opening * 3.70% / 12</t>
      </text>
    </comment>
    <comment ref="E113" authorId="0" shapeId="0">
      <text>
        <t>Loan: BMO, 25 Trailers (Sept 2020). Principal = MIN(Opening, Payment - Interest)</t>
      </text>
    </comment>
    <comment ref="F113" authorId="0" shapeId="0">
      <text>
        <t>Loan: BMO, 25 Trailers (Sept 2020). Closing = Opening - Principal</t>
      </text>
    </comment>
    <comment ref="C114" authorId="0" shapeId="0">
      <text>
        <t>Loan: BMO, 25 Trailers (Sept 2020). Source: Meiborg_Debt_Schedule_202511.xlsx</t>
      </text>
    </comment>
    <comment ref="D114" authorId="0" shapeId="0">
      <text>
        <t>Loan: BMO, 25 Trailers (Sept 2020). Interest = Opening * 3.70% / 12</t>
      </text>
    </comment>
    <comment ref="E114" authorId="0" shapeId="0">
      <text>
        <t>Loan: BMO, 25 Trailers (Sept 2020). Principal = MIN(Opening, Payment - Interest)</t>
      </text>
    </comment>
    <comment ref="F114" authorId="0" shapeId="0">
      <text>
        <t>Loan: BMO, 25 Trailers (Sept 2020). Closing = Opening - Principal</t>
      </text>
    </comment>
    <comment ref="C115" authorId="0" shapeId="0">
      <text>
        <t>Loan: BMO, 25 Trailers (Sept 2020). Source: Meiborg_Debt_Schedule_202511.xlsx</t>
      </text>
    </comment>
    <comment ref="D115" authorId="0" shapeId="0">
      <text>
        <t>Loan: BMO, 25 Trailers (Sept 2020). Interest = Opening * 3.70% / 12</t>
      </text>
    </comment>
    <comment ref="E115" authorId="0" shapeId="0">
      <text>
        <t>Loan: BMO, 25 Trailers (Sept 2020). Principal = MIN(Opening, Payment - Interest)</t>
      </text>
    </comment>
    <comment ref="F115" authorId="0" shapeId="0">
      <text>
        <t>Loan: BMO, 25 Trailers (Sept 2020). Closing = Opening - Principal</t>
      </text>
    </comment>
    <comment ref="C116" authorId="0" shapeId="0">
      <text>
        <t>Loan: BMO, 25 Trailers (Sept 2020). Source: Meiborg_Debt_Schedule_202511.xlsx</t>
      </text>
    </comment>
    <comment ref="D116" authorId="0" shapeId="0">
      <text>
        <t>Loan: BMO, 25 Trailers (Sept 2020). Interest = Opening * 3.70% / 12</t>
      </text>
    </comment>
    <comment ref="E116" authorId="0" shapeId="0">
      <text>
        <t>Loan: BMO, 25 Trailers (Sept 2020). Principal = MIN(Opening, Payment - Interest)</t>
      </text>
    </comment>
    <comment ref="F116" authorId="0" shapeId="0">
      <text>
        <t>Loan: BMO, 25 Trailers (Sept 2020). Closing = Opening - Principal</t>
      </text>
    </comment>
    <comment ref="C117" authorId="0" shapeId="0">
      <text>
        <t>Loan: BMO, 25 Trailers (Sept 2020). Source: Meiborg_Debt_Schedule_202511.xlsx</t>
      </text>
    </comment>
    <comment ref="D117" authorId="0" shapeId="0">
      <text>
        <t>Loan: BMO, 25 Trailers (Sept 2020). Interest = Opening * 3.70% / 12</t>
      </text>
    </comment>
    <comment ref="E117" authorId="0" shapeId="0">
      <text>
        <t>Loan: BMO, 25 Trailers (Sept 2020). Principal = MIN(Opening, Payment - Interest)</t>
      </text>
    </comment>
    <comment ref="F117" authorId="0" shapeId="0">
      <text>
        <t>Loan: BMO, 25 Trailers (Sept 2020). Closing = Opening - Principal</t>
      </text>
    </comment>
    <comment ref="C118" authorId="0" shapeId="0">
      <text>
        <t>Loan: BMO, 25 Trailers (Sept 2020). Source: Meiborg_Debt_Schedule_202511.xlsx</t>
      </text>
    </comment>
    <comment ref="D118" authorId="0" shapeId="0">
      <text>
        <t>Loan: BMO, 25 Trailers (Sept 2020). Interest = Opening * 3.70% / 12</t>
      </text>
    </comment>
    <comment ref="E118" authorId="0" shapeId="0">
      <text>
        <t>Loan: BMO, 25 Trailers (Sept 2020). Principal = MIN(Opening, Payment - Interest)</t>
      </text>
    </comment>
    <comment ref="F118" authorId="0" shapeId="0">
      <text>
        <t>Loan: BMO, 25 Trailers (Sept 2020). Closing = Opening - Principal</t>
      </text>
    </comment>
    <comment ref="C119" authorId="0" shapeId="0">
      <text>
        <t>Loan: BMO, 25 Trailers (Sept 2020). Source: Meiborg_Debt_Schedule_202511.xlsx</t>
      </text>
    </comment>
    <comment ref="D119" authorId="0" shapeId="0">
      <text>
        <t>Loan: BMO, 25 Trailers (Sept 2020). Interest = Opening * 3.70% / 12</t>
      </text>
    </comment>
    <comment ref="E119" authorId="0" shapeId="0">
      <text>
        <t>Loan: BMO, 25 Trailers (Sept 2020). Principal = MIN(Opening, Payment - Interest)</t>
      </text>
    </comment>
    <comment ref="F119" authorId="0" shapeId="0">
      <text>
        <t>Loan: BMO, 25 Trailers (Sept 2020). Closing = Opening - Principal</t>
      </text>
    </comment>
    <comment ref="C120" authorId="0" shapeId="0">
      <text>
        <t>Loan: BMO, 25 Trailers (Sept 2020). Source: Meiborg_Debt_Schedule_202511.xlsx</t>
      </text>
    </comment>
    <comment ref="D120" authorId="0" shapeId="0">
      <text>
        <t>Loan: BMO, 25 Trailers (Sept 2020). Interest = Opening * 3.70% / 12</t>
      </text>
    </comment>
    <comment ref="E120" authorId="0" shapeId="0">
      <text>
        <t>Loan: BMO, 25 Trailers (Sept 2020). Principal = MIN(Opening, Payment - Interest)</t>
      </text>
    </comment>
    <comment ref="F120" authorId="0" shapeId="0">
      <text>
        <t>Loan: BMO, 25 Trailers (Sept 2020). Closing = Opening - Principal</t>
      </text>
    </comment>
    <comment ref="C121" authorId="0" shapeId="0">
      <text>
        <t>Loan: BMO, 25 Trailers (Sept 2020). Source: Meiborg_Debt_Schedule_202511.xlsx</t>
      </text>
    </comment>
    <comment ref="D121" authorId="0" shapeId="0">
      <text>
        <t>Loan: BMO, 25 Trailers (Sept 2020). Interest = Opening * 3.70% / 12</t>
      </text>
    </comment>
    <comment ref="E121" authorId="0" shapeId="0">
      <text>
        <t>Loan: BMO, 25 Trailers (Sept 2020). Principal = MIN(Opening, Payment - Interest)</t>
      </text>
    </comment>
    <comment ref="F121" authorId="0" shapeId="0">
      <text>
        <t>Loan: BMO, 25 Trailers (Sept 2020). Closing = Opening - Principal</t>
      </text>
    </comment>
    <comment ref="D122" authorId="0" shapeId="0">
      <text>
        <t>Sum of rows 100-121: Total interest over remaining term</t>
      </text>
    </comment>
    <comment ref="E122" authorId="0" shapeId="0">
      <text>
        <t>Sum of rows 100-121: Total principal over remaining term</t>
      </text>
    </comment>
    <comment ref="B130" authorId="0" shapeId="0">
      <text>
        <t>Source: loans.md - BMO 2 T680 Sleepers (July 2022)
Extracted: 2026-05-19</t>
      </text>
    </comment>
    <comment ref="B131" authorId="0" shapeId="0">
      <text>
        <t>Source: loans.md - BMO 2 T680 Sleepers (July 2022)
Extracted: 2026-05-19</t>
      </text>
    </comment>
    <comment ref="B133" authorId="0" shapeId="0">
      <text>
        <t>Source: loans.md - BMO 2 T680 Sleepers (July 2022)
Extracted: 2026-05-19</t>
      </text>
    </comment>
    <comment ref="C138" authorId="0" shapeId="0">
      <text>
        <t>Loan: BMO, 2 T680 Sleepers (July 2022). Source: Meiborg_Debt_Schedule_202511.xlsx</t>
      </text>
    </comment>
    <comment ref="D138" authorId="0" shapeId="0">
      <text>
        <t>Loan: BMO, 2 T680 Sleepers (July 2022). Interest = Opening * 4.45% / 12</t>
      </text>
    </comment>
    <comment ref="E138" authorId="0" shapeId="0">
      <text>
        <t>Loan: BMO, 2 T680 Sleepers (July 2022). Principal = MIN(Opening, Payment - Interest)</t>
      </text>
    </comment>
    <comment ref="F138" authorId="0" shapeId="0">
      <text>
        <t>Loan: BMO, 2 T680 Sleepers (July 2022). Closing = Opening - Principal</t>
      </text>
    </comment>
    <comment ref="C139" authorId="0" shapeId="0">
      <text>
        <t>Loan: BMO, 2 T680 Sleepers (July 2022). Source: Meiborg_Debt_Schedule_202511.xlsx</t>
      </text>
    </comment>
    <comment ref="D139" authorId="0" shapeId="0">
      <text>
        <t>Loan: BMO, 2 T680 Sleepers (July 2022). Interest = Opening * 4.45% / 12</t>
      </text>
    </comment>
    <comment ref="E139" authorId="0" shapeId="0">
      <text>
        <t>Loan: BMO, 2 T680 Sleepers (July 2022). Principal = MIN(Opening, Payment - Interest)</t>
      </text>
    </comment>
    <comment ref="F139" authorId="0" shapeId="0">
      <text>
        <t>Loan: BMO, 2 T680 Sleepers (July 2022). Closing = Opening - Principal</t>
      </text>
    </comment>
    <comment ref="C140" authorId="0" shapeId="0">
      <text>
        <t>Loan: BMO, 2 T680 Sleepers (July 2022). Source: Meiborg_Debt_Schedule_202511.xlsx</t>
      </text>
    </comment>
    <comment ref="D140" authorId="0" shapeId="0">
      <text>
        <t>Loan: BMO, 2 T680 Sleepers (July 2022). Interest = Opening * 4.45% / 12</t>
      </text>
    </comment>
    <comment ref="E140" authorId="0" shapeId="0">
      <text>
        <t>Loan: BMO, 2 T680 Sleepers (July 2022). Principal = MIN(Opening, Payment - Interest)</t>
      </text>
    </comment>
    <comment ref="F140" authorId="0" shapeId="0">
      <text>
        <t>Loan: BMO, 2 T680 Sleepers (July 2022). Closing = Opening - Principal</t>
      </text>
    </comment>
    <comment ref="C141" authorId="0" shapeId="0">
      <text>
        <t>Loan: BMO, 2 T680 Sleepers (July 2022). Source: Meiborg_Debt_Schedule_202511.xlsx</t>
      </text>
    </comment>
    <comment ref="D141" authorId="0" shapeId="0">
      <text>
        <t>Loan: BMO, 2 T680 Sleepers (July 2022). Interest = Opening * 4.45% / 12</t>
      </text>
    </comment>
    <comment ref="E141" authorId="0" shapeId="0">
      <text>
        <t>Loan: BMO, 2 T680 Sleepers (July 2022). Principal = MIN(Opening, Payment - Interest)</t>
      </text>
    </comment>
    <comment ref="F141" authorId="0" shapeId="0">
      <text>
        <t>Loan: BMO, 2 T680 Sleepers (July 2022). Closing = Opening - Principal</t>
      </text>
    </comment>
    <comment ref="C142" authorId="0" shapeId="0">
      <text>
        <t>Loan: BMO, 2 T680 Sleepers (July 2022). Source: Meiborg_Debt_Schedule_202511.xlsx</t>
      </text>
    </comment>
    <comment ref="D142" authorId="0" shapeId="0">
      <text>
        <t>Loan: BMO, 2 T680 Sleepers (July 2022). Interest = Opening * 4.45% / 12</t>
      </text>
    </comment>
    <comment ref="E142" authorId="0" shapeId="0">
      <text>
        <t>Loan: BMO, 2 T680 Sleepers (July 2022). Principal = MIN(Opening, Payment - Interest)</t>
      </text>
    </comment>
    <comment ref="F142" authorId="0" shapeId="0">
      <text>
        <t>Loan: BMO, 2 T680 Sleepers (July 2022). Closing = Opening - Principal</t>
      </text>
    </comment>
    <comment ref="C143" authorId="0" shapeId="0">
      <text>
        <t>Loan: BMO, 2 T680 Sleepers (July 2022). Source: Meiborg_Debt_Schedule_202511.xlsx</t>
      </text>
    </comment>
    <comment ref="D143" authorId="0" shapeId="0">
      <text>
        <t>Loan: BMO, 2 T680 Sleepers (July 2022). Interest = Opening * 4.45% / 12</t>
      </text>
    </comment>
    <comment ref="E143" authorId="0" shapeId="0">
      <text>
        <t>Loan: BMO, 2 T680 Sleepers (July 2022). Principal = MIN(Opening, Payment - Interest)</t>
      </text>
    </comment>
    <comment ref="F143" authorId="0" shapeId="0">
      <text>
        <t>Loan: BMO, 2 T680 Sleepers (July 2022). Closing = Opening - Principal</t>
      </text>
    </comment>
    <comment ref="C144" authorId="0" shapeId="0">
      <text>
        <t>Loan: BMO, 2 T680 Sleepers (July 2022). Source: Meiborg_Debt_Schedule_202511.xlsx</t>
      </text>
    </comment>
    <comment ref="D144" authorId="0" shapeId="0">
      <text>
        <t>Loan: BMO, 2 T680 Sleepers (July 2022). Interest = Opening * 4.45% / 12</t>
      </text>
    </comment>
    <comment ref="E144" authorId="0" shapeId="0">
      <text>
        <t>Loan: BMO, 2 T680 Sleepers (July 2022). Principal = MIN(Opening, Payment - Interest)</t>
      </text>
    </comment>
    <comment ref="F144" authorId="0" shapeId="0">
      <text>
        <t>Loan: BMO, 2 T680 Sleepers (July 2022). Closing = Opening - Principal</t>
      </text>
    </comment>
    <comment ref="C145" authorId="0" shapeId="0">
      <text>
        <t>Loan: BMO, 2 T680 Sleepers (July 2022). Source: Meiborg_Debt_Schedule_202511.xlsx</t>
      </text>
    </comment>
    <comment ref="D145" authorId="0" shapeId="0">
      <text>
        <t>Loan: BMO, 2 T680 Sleepers (July 2022). Interest = Opening * 4.45% / 12</t>
      </text>
    </comment>
    <comment ref="E145" authorId="0" shapeId="0">
      <text>
        <t>Loan: BMO, 2 T680 Sleepers (July 2022). Principal = MIN(Opening, Payment - Interest)</t>
      </text>
    </comment>
    <comment ref="F145" authorId="0" shapeId="0">
      <text>
        <t>Loan: BMO, 2 T680 Sleepers (July 2022). Closing = Opening - Principal</t>
      </text>
    </comment>
    <comment ref="C146" authorId="0" shapeId="0">
      <text>
        <t>Loan: BMO, 2 T680 Sleepers (July 2022). Source: Meiborg_Debt_Schedule_202511.xlsx</t>
      </text>
    </comment>
    <comment ref="D146" authorId="0" shapeId="0">
      <text>
        <t>Loan: BMO, 2 T680 Sleepers (July 2022). Interest = Opening * 4.45% / 12</t>
      </text>
    </comment>
    <comment ref="E146" authorId="0" shapeId="0">
      <text>
        <t>Loan: BMO, 2 T680 Sleepers (July 2022). Principal = MIN(Opening, Payment - Interest)</t>
      </text>
    </comment>
    <comment ref="F146" authorId="0" shapeId="0">
      <text>
        <t>Loan: BMO, 2 T680 Sleepers (July 2022). Closing = Opening - Principal</t>
      </text>
    </comment>
    <comment ref="C147" authorId="0" shapeId="0">
      <text>
        <t>Loan: BMO, 2 T680 Sleepers (July 2022). Source: Meiborg_Debt_Schedule_202511.xlsx</t>
      </text>
    </comment>
    <comment ref="D147" authorId="0" shapeId="0">
      <text>
        <t>Loan: BMO, 2 T680 Sleepers (July 2022). Interest = Opening * 4.45% / 12</t>
      </text>
    </comment>
    <comment ref="E147" authorId="0" shapeId="0">
      <text>
        <t>Loan: BMO, 2 T680 Sleepers (July 2022). Principal = MIN(Opening, Payment - Interest)</t>
      </text>
    </comment>
    <comment ref="F147" authorId="0" shapeId="0">
      <text>
        <t>Loan: BMO, 2 T680 Sleepers (July 2022). Closing = Opening - Principal</t>
      </text>
    </comment>
    <comment ref="C148" authorId="0" shapeId="0">
      <text>
        <t>Loan: BMO, 2 T680 Sleepers (July 2022). Source: Meiborg_Debt_Schedule_202511.xlsx</t>
      </text>
    </comment>
    <comment ref="D148" authorId="0" shapeId="0">
      <text>
        <t>Loan: BMO, 2 T680 Sleepers (July 2022). Interest = Opening * 4.45% / 12</t>
      </text>
    </comment>
    <comment ref="E148" authorId="0" shapeId="0">
      <text>
        <t>Loan: BMO, 2 T680 Sleepers (July 2022). Principal = MIN(Opening, Payment - Interest)</t>
      </text>
    </comment>
    <comment ref="F148" authorId="0" shapeId="0">
      <text>
        <t>Loan: BMO, 2 T680 Sleepers (July 2022). Closing = Opening - Principal</t>
      </text>
    </comment>
    <comment ref="C149" authorId="0" shapeId="0">
      <text>
        <t>Loan: BMO, 2 T680 Sleepers (July 2022). Source: Meiborg_Debt_Schedule_202511.xlsx</t>
      </text>
    </comment>
    <comment ref="D149" authorId="0" shapeId="0">
      <text>
        <t>Loan: BMO, 2 T680 Sleepers (July 2022). Interest = Opening * 4.45% / 12</t>
      </text>
    </comment>
    <comment ref="E149" authorId="0" shapeId="0">
      <text>
        <t>Loan: BMO, 2 T680 Sleepers (July 2022). Principal = MIN(Opening, Payment - Interest)</t>
      </text>
    </comment>
    <comment ref="F149" authorId="0" shapeId="0">
      <text>
        <t>Loan: BMO, 2 T680 Sleepers (July 2022). Closing = Opening - Principal</t>
      </text>
    </comment>
    <comment ref="C150" authorId="0" shapeId="0">
      <text>
        <t>Loan: BMO, 2 T680 Sleepers (July 2022). Source: Meiborg_Debt_Schedule_202511.xlsx</t>
      </text>
    </comment>
    <comment ref="D150" authorId="0" shapeId="0">
      <text>
        <t>Loan: BMO, 2 T680 Sleepers (July 2022). Interest = Opening * 4.45% / 12</t>
      </text>
    </comment>
    <comment ref="E150" authorId="0" shapeId="0">
      <text>
        <t>Loan: BMO, 2 T680 Sleepers (July 2022). Principal = MIN(Opening, Payment - Interest)</t>
      </text>
    </comment>
    <comment ref="F150" authorId="0" shapeId="0">
      <text>
        <t>Loan: BMO, 2 T680 Sleepers (July 2022). Closing = Opening - Principal</t>
      </text>
    </comment>
    <comment ref="C151" authorId="0" shapeId="0">
      <text>
        <t>Loan: BMO, 2 T680 Sleepers (July 2022). Source: Meiborg_Debt_Schedule_202511.xlsx</t>
      </text>
    </comment>
    <comment ref="D151" authorId="0" shapeId="0">
      <text>
        <t>Loan: BMO, 2 T680 Sleepers (July 2022). Interest = Opening * 4.45% / 12</t>
      </text>
    </comment>
    <comment ref="E151" authorId="0" shapeId="0">
      <text>
        <t>Loan: BMO, 2 T680 Sleepers (July 2022). Principal = MIN(Opening, Payment - Interest)</t>
      </text>
    </comment>
    <comment ref="F151" authorId="0" shapeId="0">
      <text>
        <t>Loan: BMO, 2 T680 Sleepers (July 2022). Closing = Opening - Principal</t>
      </text>
    </comment>
    <comment ref="C152" authorId="0" shapeId="0">
      <text>
        <t>Loan: BMO, 2 T680 Sleepers (July 2022). Source: Meiborg_Debt_Schedule_202511.xlsx</t>
      </text>
    </comment>
    <comment ref="D152" authorId="0" shapeId="0">
      <text>
        <t>Loan: BMO, 2 T680 Sleepers (July 2022). Interest = Opening * 4.45% / 12</t>
      </text>
    </comment>
    <comment ref="E152" authorId="0" shapeId="0">
      <text>
        <t>Loan: BMO, 2 T680 Sleepers (July 2022). Principal = MIN(Opening, Payment - Interest)</t>
      </text>
    </comment>
    <comment ref="F152" authorId="0" shapeId="0">
      <text>
        <t>Loan: BMO, 2 T680 Sleepers (July 2022). Closing = Opening - Principal</t>
      </text>
    </comment>
    <comment ref="C153" authorId="0" shapeId="0">
      <text>
        <t>Loan: BMO, 2 T680 Sleepers (July 2022). Source: Meiborg_Debt_Schedule_202511.xlsx</t>
      </text>
    </comment>
    <comment ref="D153" authorId="0" shapeId="0">
      <text>
        <t>Loan: BMO, 2 T680 Sleepers (July 2022). Interest = Opening * 4.45% / 12</t>
      </text>
    </comment>
    <comment ref="E153" authorId="0" shapeId="0">
      <text>
        <t>Loan: BMO, 2 T680 Sleepers (July 2022). Principal = MIN(Opening, Payment - Interest)</t>
      </text>
    </comment>
    <comment ref="F153" authorId="0" shapeId="0">
      <text>
        <t>Loan: BMO, 2 T680 Sleepers (July 2022). Closing = Opening - Principal</t>
      </text>
    </comment>
    <comment ref="C154" authorId="0" shapeId="0">
      <text>
        <t>Loan: BMO, 2 T680 Sleepers (July 2022). Source: Meiborg_Debt_Schedule_202511.xlsx</t>
      </text>
    </comment>
    <comment ref="D154" authorId="0" shapeId="0">
      <text>
        <t>Loan: BMO, 2 T680 Sleepers (July 2022). Interest = Opening * 4.45% / 12</t>
      </text>
    </comment>
    <comment ref="E154" authorId="0" shapeId="0">
      <text>
        <t>Loan: BMO, 2 T680 Sleepers (July 2022). Principal = MIN(Opening, Payment - Interest)</t>
      </text>
    </comment>
    <comment ref="F154" authorId="0" shapeId="0">
      <text>
        <t>Loan: BMO, 2 T680 Sleepers (July 2022). Closing = Opening - Principal</t>
      </text>
    </comment>
    <comment ref="C155" authorId="0" shapeId="0">
      <text>
        <t>Loan: BMO, 2 T680 Sleepers (July 2022). Source: Meiborg_Debt_Schedule_202511.xlsx</t>
      </text>
    </comment>
    <comment ref="D155" authorId="0" shapeId="0">
      <text>
        <t>Loan: BMO, 2 T680 Sleepers (July 2022). Interest = Opening * 4.45% / 12</t>
      </text>
    </comment>
    <comment ref="E155" authorId="0" shapeId="0">
      <text>
        <t>Loan: BMO, 2 T680 Sleepers (July 2022). Principal = MIN(Opening, Payment - Interest)</t>
      </text>
    </comment>
    <comment ref="F155" authorId="0" shapeId="0">
      <text>
        <t>Loan: BMO, 2 T680 Sleepers (July 2022). Closing = Opening - Principal</t>
      </text>
    </comment>
    <comment ref="C156" authorId="0" shapeId="0">
      <text>
        <t>Loan: BMO, 2 T680 Sleepers (July 2022). Source: Meiborg_Debt_Schedule_202511.xlsx</t>
      </text>
    </comment>
    <comment ref="D156" authorId="0" shapeId="0">
      <text>
        <t>Loan: BMO, 2 T680 Sleepers (July 2022). Interest = Opening * 4.45% / 12</t>
      </text>
    </comment>
    <comment ref="E156" authorId="0" shapeId="0">
      <text>
        <t>Loan: BMO, 2 T680 Sleepers (July 2022). Principal = MIN(Opening, Payment - Interest)</t>
      </text>
    </comment>
    <comment ref="F156" authorId="0" shapeId="0">
      <text>
        <t>Loan: BMO, 2 T680 Sleepers (July 2022). Closing = Opening - Principal</t>
      </text>
    </comment>
    <comment ref="C157" authorId="0" shapeId="0">
      <text>
        <t>Loan: BMO, 2 T680 Sleepers (July 2022). Source: Meiborg_Debt_Schedule_202511.xlsx</t>
      </text>
    </comment>
    <comment ref="D157" authorId="0" shapeId="0">
      <text>
        <t>Loan: BMO, 2 T680 Sleepers (July 2022). Interest = Opening * 4.45% / 12</t>
      </text>
    </comment>
    <comment ref="E157" authorId="0" shapeId="0">
      <text>
        <t>Loan: BMO, 2 T680 Sleepers (July 2022). Principal = MIN(Opening, Payment - Interest)</t>
      </text>
    </comment>
    <comment ref="F157" authorId="0" shapeId="0">
      <text>
        <t>Loan: BMO, 2 T680 Sleepers (July 2022). Closing = Opening - Principal</t>
      </text>
    </comment>
    <comment ref="C158" authorId="0" shapeId="0">
      <text>
        <t>Loan: BMO, 2 T680 Sleepers (July 2022). Source: Meiborg_Debt_Schedule_202511.xlsx</t>
      </text>
    </comment>
    <comment ref="D158" authorId="0" shapeId="0">
      <text>
        <t>Loan: BMO, 2 T680 Sleepers (July 2022). Interest = Opening * 4.45% / 12</t>
      </text>
    </comment>
    <comment ref="E158" authorId="0" shapeId="0">
      <text>
        <t>Loan: BMO, 2 T680 Sleepers (July 2022). Principal = MIN(Opening, Payment - Interest)</t>
      </text>
    </comment>
    <comment ref="F158" authorId="0" shapeId="0">
      <text>
        <t>Loan: BMO, 2 T680 Sleepers (July 2022). Closing = Opening - Principal</t>
      </text>
    </comment>
    <comment ref="C159" authorId="0" shapeId="0">
      <text>
        <t>Loan: BMO, 2 T680 Sleepers (July 2022). Source: Meiborg_Debt_Schedule_202511.xlsx</t>
      </text>
    </comment>
    <comment ref="D159" authorId="0" shapeId="0">
      <text>
        <t>Loan: BMO, 2 T680 Sleepers (July 2022). Interest = Opening * 4.45% / 12</t>
      </text>
    </comment>
    <comment ref="E159" authorId="0" shapeId="0">
      <text>
        <t>Loan: BMO, 2 T680 Sleepers (July 2022). Principal = MIN(Opening, Payment - Interest)</t>
      </text>
    </comment>
    <comment ref="F159" authorId="0" shapeId="0">
      <text>
        <t>Loan: BMO, 2 T680 Sleepers (July 2022). Closing = Opening - Principal</t>
      </text>
    </comment>
    <comment ref="C160" authorId="0" shapeId="0">
      <text>
        <t>Loan: BMO, 2 T680 Sleepers (July 2022). Source: Meiborg_Debt_Schedule_202511.xlsx</t>
      </text>
    </comment>
    <comment ref="D160" authorId="0" shapeId="0">
      <text>
        <t>Loan: BMO, 2 T680 Sleepers (July 2022). Interest = Opening * 4.45% / 12</t>
      </text>
    </comment>
    <comment ref="E160" authorId="0" shapeId="0">
      <text>
        <t>Loan: BMO, 2 T680 Sleepers (July 2022). Principal = MIN(Opening, Payment - Interest)</t>
      </text>
    </comment>
    <comment ref="F160" authorId="0" shapeId="0">
      <text>
        <t>Loan: BMO, 2 T680 Sleepers (July 2022). Closing = Opening - Principal</t>
      </text>
    </comment>
    <comment ref="C161" authorId="0" shapeId="0">
      <text>
        <t>Loan: BMO, 2 T680 Sleepers (July 2022). Source: Meiborg_Debt_Schedule_202511.xlsx</t>
      </text>
    </comment>
    <comment ref="D161" authorId="0" shapeId="0">
      <text>
        <t>Loan: BMO, 2 T680 Sleepers (July 2022). Interest = Opening * 4.45% / 12</t>
      </text>
    </comment>
    <comment ref="E161" authorId="0" shapeId="0">
      <text>
        <t>Loan: BMO, 2 T680 Sleepers (July 2022). Principal = MIN(Opening, Payment - Interest)</t>
      </text>
    </comment>
    <comment ref="F161" authorId="0" shapeId="0">
      <text>
        <t>Loan: BMO, 2 T680 Sleepers (July 2022). Closing = Opening - Principal</t>
      </text>
    </comment>
    <comment ref="C162" authorId="0" shapeId="0">
      <text>
        <t>Loan: BMO, 2 T680 Sleepers (July 2022). Source: Meiborg_Debt_Schedule_202511.xlsx</t>
      </text>
    </comment>
    <comment ref="D162" authorId="0" shapeId="0">
      <text>
        <t>Loan: BMO, 2 T680 Sleepers (July 2022). Interest = Opening * 4.45% / 12</t>
      </text>
    </comment>
    <comment ref="E162" authorId="0" shapeId="0">
      <text>
        <t>Loan: BMO, 2 T680 Sleepers (July 2022). Principal = MIN(Opening, Payment - Interest)</t>
      </text>
    </comment>
    <comment ref="F162" authorId="0" shapeId="0">
      <text>
        <t>Loan: BMO, 2 T680 Sleepers (July 2022). Closing = Opening - Principal</t>
      </text>
    </comment>
    <comment ref="C163" authorId="0" shapeId="0">
      <text>
        <t>Loan: BMO, 2 T680 Sleepers (July 2022). Source: Meiborg_Debt_Schedule_202511.xlsx</t>
      </text>
    </comment>
    <comment ref="D163" authorId="0" shapeId="0">
      <text>
        <t>Loan: BMO, 2 T680 Sleepers (July 2022). Interest = Opening * 4.45% / 12</t>
      </text>
    </comment>
    <comment ref="E163" authorId="0" shapeId="0">
      <text>
        <t>Loan: BMO, 2 T680 Sleepers (July 2022). Principal = MIN(Opening, Payment - Interest)</t>
      </text>
    </comment>
    <comment ref="F163" authorId="0" shapeId="0">
      <text>
        <t>Loan: BMO, 2 T680 Sleepers (July 2022). Closing = Opening - Principal</t>
      </text>
    </comment>
    <comment ref="C164" authorId="0" shapeId="0">
      <text>
        <t>Loan: BMO, 2 T680 Sleepers (July 2022). Source: Meiborg_Debt_Schedule_202511.xlsx</t>
      </text>
    </comment>
    <comment ref="D164" authorId="0" shapeId="0">
      <text>
        <t>Loan: BMO, 2 T680 Sleepers (July 2022). Interest = Opening * 4.45% / 12</t>
      </text>
    </comment>
    <comment ref="E164" authorId="0" shapeId="0">
      <text>
        <t>Loan: BMO, 2 T680 Sleepers (July 2022). Principal = MIN(Opening, Payment - Interest)</t>
      </text>
    </comment>
    <comment ref="F164" authorId="0" shapeId="0">
      <text>
        <t>Loan: BMO, 2 T680 Sleepers (July 2022). Closing = Opening - Principal</t>
      </text>
    </comment>
    <comment ref="D165" authorId="0" shapeId="0">
      <text>
        <t>Sum of rows 138-164: Total interest over remaining term</t>
      </text>
    </comment>
    <comment ref="E165" authorId="0" shapeId="0">
      <text>
        <t>Sum of rows 138-164: Total principal over remaining term</t>
      </text>
    </comment>
    <comment ref="B173" authorId="0" shapeId="0">
      <text>
        <t>Source: loans.md - BMO 5 T680 Sleepers (Aug 2022)
Extracted: 2026-05-19</t>
      </text>
    </comment>
    <comment ref="B174" authorId="0" shapeId="0">
      <text>
        <t>Source: loans.md - BMO 5 T680 Sleepers (Aug 2022)
Extracted: 2026-05-19</t>
      </text>
    </comment>
    <comment ref="B176" authorId="0" shapeId="0">
      <text>
        <t>Source: loans.md - BMO 5 T680 Sleepers (Aug 2022)
Extracted: 2026-05-19</t>
      </text>
    </comment>
    <comment ref="C181" authorId="0" shapeId="0">
      <text>
        <t>Loan: BMO, 5 T680 Sleepers (Aug 2022). Source: Meiborg_Debt_Schedule_202511.xlsx</t>
      </text>
    </comment>
    <comment ref="D181" authorId="0" shapeId="0">
      <text>
        <t>Loan: BMO, 5 T680 Sleepers (Aug 2022). Interest = Opening * 4.42% / 12</t>
      </text>
    </comment>
    <comment ref="E181" authorId="0" shapeId="0">
      <text>
        <t>Loan: BMO, 5 T680 Sleepers (Aug 2022). Principal = MIN(Opening, Payment - Interest)</t>
      </text>
    </comment>
    <comment ref="F181" authorId="0" shapeId="0">
      <text>
        <t>Loan: BMO, 5 T680 Sleepers (Aug 2022). Closing = Opening - Principal</t>
      </text>
    </comment>
    <comment ref="C182" authorId="0" shapeId="0">
      <text>
        <t>Loan: BMO, 5 T680 Sleepers (Aug 2022). Source: Meiborg_Debt_Schedule_202511.xlsx</t>
      </text>
    </comment>
    <comment ref="D182" authorId="0" shapeId="0">
      <text>
        <t>Loan: BMO, 5 T680 Sleepers (Aug 2022). Interest = Opening * 4.42% / 12</t>
      </text>
    </comment>
    <comment ref="E182" authorId="0" shapeId="0">
      <text>
        <t>Loan: BMO, 5 T680 Sleepers (Aug 2022). Principal = MIN(Opening, Payment - Interest)</t>
      </text>
    </comment>
    <comment ref="F182" authorId="0" shapeId="0">
      <text>
        <t>Loan: BMO, 5 T680 Sleepers (Aug 2022). Closing = Opening - Principal</t>
      </text>
    </comment>
    <comment ref="C183" authorId="0" shapeId="0">
      <text>
        <t>Loan: BMO, 5 T680 Sleepers (Aug 2022). Source: Meiborg_Debt_Schedule_202511.xlsx</t>
      </text>
    </comment>
    <comment ref="D183" authorId="0" shapeId="0">
      <text>
        <t>Loan: BMO, 5 T680 Sleepers (Aug 2022). Interest = Opening * 4.42% / 12</t>
      </text>
    </comment>
    <comment ref="E183" authorId="0" shapeId="0">
      <text>
        <t>Loan: BMO, 5 T680 Sleepers (Aug 2022). Principal = MIN(Opening, Payment - Interest)</t>
      </text>
    </comment>
    <comment ref="F183" authorId="0" shapeId="0">
      <text>
        <t>Loan: BMO, 5 T680 Sleepers (Aug 2022). Closing = Opening - Principal</t>
      </text>
    </comment>
    <comment ref="C184" authorId="0" shapeId="0">
      <text>
        <t>Loan: BMO, 5 T680 Sleepers (Aug 2022). Source: Meiborg_Debt_Schedule_202511.xlsx</t>
      </text>
    </comment>
    <comment ref="D184" authorId="0" shapeId="0">
      <text>
        <t>Loan: BMO, 5 T680 Sleepers (Aug 2022). Interest = Opening * 4.42% / 12</t>
      </text>
    </comment>
    <comment ref="E184" authorId="0" shapeId="0">
      <text>
        <t>Loan: BMO, 5 T680 Sleepers (Aug 2022). Principal = MIN(Opening, Payment - Interest)</t>
      </text>
    </comment>
    <comment ref="F184" authorId="0" shapeId="0">
      <text>
        <t>Loan: BMO, 5 T680 Sleepers (Aug 2022). Closing = Opening - Principal</t>
      </text>
    </comment>
    <comment ref="C185" authorId="0" shapeId="0">
      <text>
        <t>Loan: BMO, 5 T680 Sleepers (Aug 2022). Source: Meiborg_Debt_Schedule_202511.xlsx</t>
      </text>
    </comment>
    <comment ref="D185" authorId="0" shapeId="0">
      <text>
        <t>Loan: BMO, 5 T680 Sleepers (Aug 2022). Interest = Opening * 4.42% / 12</t>
      </text>
    </comment>
    <comment ref="E185" authorId="0" shapeId="0">
      <text>
        <t>Loan: BMO, 5 T680 Sleepers (Aug 2022). Principal = MIN(Opening, Payment - Interest)</t>
      </text>
    </comment>
    <comment ref="F185" authorId="0" shapeId="0">
      <text>
        <t>Loan: BMO, 5 T680 Sleepers (Aug 2022). Closing = Opening - Principal</t>
      </text>
    </comment>
    <comment ref="C186" authorId="0" shapeId="0">
      <text>
        <t>Loan: BMO, 5 T680 Sleepers (Aug 2022). Source: Meiborg_Debt_Schedule_202511.xlsx</t>
      </text>
    </comment>
    <comment ref="D186" authorId="0" shapeId="0">
      <text>
        <t>Loan: BMO, 5 T680 Sleepers (Aug 2022). Interest = Opening * 4.42% / 12</t>
      </text>
    </comment>
    <comment ref="E186" authorId="0" shapeId="0">
      <text>
        <t>Loan: BMO, 5 T680 Sleepers (Aug 2022). Principal = MIN(Opening, Payment - Interest)</t>
      </text>
    </comment>
    <comment ref="F186" authorId="0" shapeId="0">
      <text>
        <t>Loan: BMO, 5 T680 Sleepers (Aug 2022). Closing = Opening - Principal</t>
      </text>
    </comment>
    <comment ref="C187" authorId="0" shapeId="0">
      <text>
        <t>Loan: BMO, 5 T680 Sleepers (Aug 2022). Source: Meiborg_Debt_Schedule_202511.xlsx</t>
      </text>
    </comment>
    <comment ref="D187" authorId="0" shapeId="0">
      <text>
        <t>Loan: BMO, 5 T680 Sleepers (Aug 2022). Interest = Opening * 4.42% / 12</t>
      </text>
    </comment>
    <comment ref="E187" authorId="0" shapeId="0">
      <text>
        <t>Loan: BMO, 5 T680 Sleepers (Aug 2022). Principal = MIN(Opening, Payment - Interest)</t>
      </text>
    </comment>
    <comment ref="F187" authorId="0" shapeId="0">
      <text>
        <t>Loan: BMO, 5 T680 Sleepers (Aug 2022). Closing = Opening - Principal</t>
      </text>
    </comment>
    <comment ref="C188" authorId="0" shapeId="0">
      <text>
        <t>Loan: BMO, 5 T680 Sleepers (Aug 2022). Source: Meiborg_Debt_Schedule_202511.xlsx</t>
      </text>
    </comment>
    <comment ref="D188" authorId="0" shapeId="0">
      <text>
        <t>Loan: BMO, 5 T680 Sleepers (Aug 2022). Interest = Opening * 4.42% / 12</t>
      </text>
    </comment>
    <comment ref="E188" authorId="0" shapeId="0">
      <text>
        <t>Loan: BMO, 5 T680 Sleepers (Aug 2022). Principal = MIN(Opening, Payment - Interest)</t>
      </text>
    </comment>
    <comment ref="F188" authorId="0" shapeId="0">
      <text>
        <t>Loan: BMO, 5 T680 Sleepers (Aug 2022). Closing = Opening - Principal</t>
      </text>
    </comment>
    <comment ref="C189" authorId="0" shapeId="0">
      <text>
        <t>Loan: BMO, 5 T680 Sleepers (Aug 2022). Source: Meiborg_Debt_Schedule_202511.xlsx</t>
      </text>
    </comment>
    <comment ref="D189" authorId="0" shapeId="0">
      <text>
        <t>Loan: BMO, 5 T680 Sleepers (Aug 2022). Interest = Opening * 4.42% / 12</t>
      </text>
    </comment>
    <comment ref="E189" authorId="0" shapeId="0">
      <text>
        <t>Loan: BMO, 5 T680 Sleepers (Aug 2022). Principal = MIN(Opening, Payment - Interest)</t>
      </text>
    </comment>
    <comment ref="F189" authorId="0" shapeId="0">
      <text>
        <t>Loan: BMO, 5 T680 Sleepers (Aug 2022). Closing = Opening - Principal</t>
      </text>
    </comment>
    <comment ref="C190" authorId="0" shapeId="0">
      <text>
        <t>Loan: BMO, 5 T680 Sleepers (Aug 2022). Source: Meiborg_Debt_Schedule_202511.xlsx</t>
      </text>
    </comment>
    <comment ref="D190" authorId="0" shapeId="0">
      <text>
        <t>Loan: BMO, 5 T680 Sleepers (Aug 2022). Interest = Opening * 4.42% / 12</t>
      </text>
    </comment>
    <comment ref="E190" authorId="0" shapeId="0">
      <text>
        <t>Loan: BMO, 5 T680 Sleepers (Aug 2022). Principal = MIN(Opening, Payment - Interest)</t>
      </text>
    </comment>
    <comment ref="F190" authorId="0" shapeId="0">
      <text>
        <t>Loan: BMO, 5 T680 Sleepers (Aug 2022). Closing = Opening - Principal</t>
      </text>
    </comment>
    <comment ref="C191" authorId="0" shapeId="0">
      <text>
        <t>Loan: BMO, 5 T680 Sleepers (Aug 2022). Source: Meiborg_Debt_Schedule_202511.xlsx</t>
      </text>
    </comment>
    <comment ref="D191" authorId="0" shapeId="0">
      <text>
        <t>Loan: BMO, 5 T680 Sleepers (Aug 2022). Interest = Opening * 4.42% / 12</t>
      </text>
    </comment>
    <comment ref="E191" authorId="0" shapeId="0">
      <text>
        <t>Loan: BMO, 5 T680 Sleepers (Aug 2022). Principal = MIN(Opening, Payment - Interest)</t>
      </text>
    </comment>
    <comment ref="F191" authorId="0" shapeId="0">
      <text>
        <t>Loan: BMO, 5 T680 Sleepers (Aug 2022). Closing = Opening - Principal</t>
      </text>
    </comment>
    <comment ref="C192" authorId="0" shapeId="0">
      <text>
        <t>Loan: BMO, 5 T680 Sleepers (Aug 2022). Source: Meiborg_Debt_Schedule_202511.xlsx</t>
      </text>
    </comment>
    <comment ref="D192" authorId="0" shapeId="0">
      <text>
        <t>Loan: BMO, 5 T680 Sleepers (Aug 2022). Interest = Opening * 4.42% / 12</t>
      </text>
    </comment>
    <comment ref="E192" authorId="0" shapeId="0">
      <text>
        <t>Loan: BMO, 5 T680 Sleepers (Aug 2022). Principal = MIN(Opening, Payment - Interest)</t>
      </text>
    </comment>
    <comment ref="F192" authorId="0" shapeId="0">
      <text>
        <t>Loan: BMO, 5 T680 Sleepers (Aug 2022). Closing = Opening - Principal</t>
      </text>
    </comment>
    <comment ref="C193" authorId="0" shapeId="0">
      <text>
        <t>Loan: BMO, 5 T680 Sleepers (Aug 2022). Source: Meiborg_Debt_Schedule_202511.xlsx</t>
      </text>
    </comment>
    <comment ref="D193" authorId="0" shapeId="0">
      <text>
        <t>Loan: BMO, 5 T680 Sleepers (Aug 2022). Interest = Opening * 4.42% / 12</t>
      </text>
    </comment>
    <comment ref="E193" authorId="0" shapeId="0">
      <text>
        <t>Loan: BMO, 5 T680 Sleepers (Aug 2022). Principal = MIN(Opening, Payment - Interest)</t>
      </text>
    </comment>
    <comment ref="F193" authorId="0" shapeId="0">
      <text>
        <t>Loan: BMO, 5 T680 Sleepers (Aug 2022). Closing = Opening - Principal</t>
      </text>
    </comment>
    <comment ref="C194" authorId="0" shapeId="0">
      <text>
        <t>Loan: BMO, 5 T680 Sleepers (Aug 2022). Source: Meiborg_Debt_Schedule_202511.xlsx</t>
      </text>
    </comment>
    <comment ref="D194" authorId="0" shapeId="0">
      <text>
        <t>Loan: BMO, 5 T680 Sleepers (Aug 2022). Interest = Opening * 4.42% / 12</t>
      </text>
    </comment>
    <comment ref="E194" authorId="0" shapeId="0">
      <text>
        <t>Loan: BMO, 5 T680 Sleepers (Aug 2022). Principal = MIN(Opening, Payment - Interest)</t>
      </text>
    </comment>
    <comment ref="F194" authorId="0" shapeId="0">
      <text>
        <t>Loan: BMO, 5 T680 Sleepers (Aug 2022). Closing = Opening - Principal</t>
      </text>
    </comment>
    <comment ref="C195" authorId="0" shapeId="0">
      <text>
        <t>Loan: BMO, 5 T680 Sleepers (Aug 2022). Source: Meiborg_Debt_Schedule_202511.xlsx</t>
      </text>
    </comment>
    <comment ref="D195" authorId="0" shapeId="0">
      <text>
        <t>Loan: BMO, 5 T680 Sleepers (Aug 2022). Interest = Opening * 4.42% / 12</t>
      </text>
    </comment>
    <comment ref="E195" authorId="0" shapeId="0">
      <text>
        <t>Loan: BMO, 5 T680 Sleepers (Aug 2022). Principal = MIN(Opening, Payment - Interest)</t>
      </text>
    </comment>
    <comment ref="F195" authorId="0" shapeId="0">
      <text>
        <t>Loan: BMO, 5 T680 Sleepers (Aug 2022). Closing = Opening - Principal</t>
      </text>
    </comment>
    <comment ref="C196" authorId="0" shapeId="0">
      <text>
        <t>Loan: BMO, 5 T680 Sleepers (Aug 2022). Source: Meiborg_Debt_Schedule_202511.xlsx</t>
      </text>
    </comment>
    <comment ref="D196" authorId="0" shapeId="0">
      <text>
        <t>Loan: BMO, 5 T680 Sleepers (Aug 2022). Interest = Opening * 4.42% / 12</t>
      </text>
    </comment>
    <comment ref="E196" authorId="0" shapeId="0">
      <text>
        <t>Loan: BMO, 5 T680 Sleepers (Aug 2022). Principal = MIN(Opening, Payment - Interest)</t>
      </text>
    </comment>
    <comment ref="F196" authorId="0" shapeId="0">
      <text>
        <t>Loan: BMO, 5 T680 Sleepers (Aug 2022). Closing = Opening - Principal</t>
      </text>
    </comment>
    <comment ref="C197" authorId="0" shapeId="0">
      <text>
        <t>Loan: BMO, 5 T680 Sleepers (Aug 2022). Source: Meiborg_Debt_Schedule_202511.xlsx</t>
      </text>
    </comment>
    <comment ref="D197" authorId="0" shapeId="0">
      <text>
        <t>Loan: BMO, 5 T680 Sleepers (Aug 2022). Interest = Opening * 4.42% / 12</t>
      </text>
    </comment>
    <comment ref="E197" authorId="0" shapeId="0">
      <text>
        <t>Loan: BMO, 5 T680 Sleepers (Aug 2022). Principal = MIN(Opening, Payment - Interest)</t>
      </text>
    </comment>
    <comment ref="F197" authorId="0" shapeId="0">
      <text>
        <t>Loan: BMO, 5 T680 Sleepers (Aug 2022). Closing = Opening - Principal</t>
      </text>
    </comment>
    <comment ref="C198" authorId="0" shapeId="0">
      <text>
        <t>Loan: BMO, 5 T680 Sleepers (Aug 2022). Source: Meiborg_Debt_Schedule_202511.xlsx</t>
      </text>
    </comment>
    <comment ref="D198" authorId="0" shapeId="0">
      <text>
        <t>Loan: BMO, 5 T680 Sleepers (Aug 2022). Interest = Opening * 4.42% / 12</t>
      </text>
    </comment>
    <comment ref="E198" authorId="0" shapeId="0">
      <text>
        <t>Loan: BMO, 5 T680 Sleepers (Aug 2022). Principal = MIN(Opening, Payment - Interest)</t>
      </text>
    </comment>
    <comment ref="F198" authorId="0" shapeId="0">
      <text>
        <t>Loan: BMO, 5 T680 Sleepers (Aug 2022). Closing = Opening - Principal</t>
      </text>
    </comment>
    <comment ref="C199" authorId="0" shapeId="0">
      <text>
        <t>Loan: BMO, 5 T680 Sleepers (Aug 2022). Source: Meiborg_Debt_Schedule_202511.xlsx</t>
      </text>
    </comment>
    <comment ref="D199" authorId="0" shapeId="0">
      <text>
        <t>Loan: BMO, 5 T680 Sleepers (Aug 2022). Interest = Opening * 4.42% / 12</t>
      </text>
    </comment>
    <comment ref="E199" authorId="0" shapeId="0">
      <text>
        <t>Loan: BMO, 5 T680 Sleepers (Aug 2022). Principal = MIN(Opening, Payment - Interest)</t>
      </text>
    </comment>
    <comment ref="F199" authorId="0" shapeId="0">
      <text>
        <t>Loan: BMO, 5 T680 Sleepers (Aug 2022). Closing = Opening - Principal</t>
      </text>
    </comment>
    <comment ref="C200" authorId="0" shapeId="0">
      <text>
        <t>Loan: BMO, 5 T680 Sleepers (Aug 2022). Source: Meiborg_Debt_Schedule_202511.xlsx</t>
      </text>
    </comment>
    <comment ref="D200" authorId="0" shapeId="0">
      <text>
        <t>Loan: BMO, 5 T680 Sleepers (Aug 2022). Interest = Opening * 4.42% / 12</t>
      </text>
    </comment>
    <comment ref="E200" authorId="0" shapeId="0">
      <text>
        <t>Loan: BMO, 5 T680 Sleepers (Aug 2022). Principal = MIN(Opening, Payment - Interest)</t>
      </text>
    </comment>
    <comment ref="F200" authorId="0" shapeId="0">
      <text>
        <t>Loan: BMO, 5 T680 Sleepers (Aug 2022). Closing = Opening - Principal</t>
      </text>
    </comment>
    <comment ref="C201" authorId="0" shapeId="0">
      <text>
        <t>Loan: BMO, 5 T680 Sleepers (Aug 2022). Source: Meiborg_Debt_Schedule_202511.xlsx</t>
      </text>
    </comment>
    <comment ref="D201" authorId="0" shapeId="0">
      <text>
        <t>Loan: BMO, 5 T680 Sleepers (Aug 2022). Interest = Opening * 4.42% / 12</t>
      </text>
    </comment>
    <comment ref="E201" authorId="0" shapeId="0">
      <text>
        <t>Loan: BMO, 5 T680 Sleepers (Aug 2022). Principal = MIN(Opening, Payment - Interest)</t>
      </text>
    </comment>
    <comment ref="F201" authorId="0" shapeId="0">
      <text>
        <t>Loan: BMO, 5 T680 Sleepers (Aug 2022). Closing = Opening - Principal</t>
      </text>
    </comment>
    <comment ref="C202" authorId="0" shapeId="0">
      <text>
        <t>Loan: BMO, 5 T680 Sleepers (Aug 2022). Source: Meiborg_Debt_Schedule_202511.xlsx</t>
      </text>
    </comment>
    <comment ref="D202" authorId="0" shapeId="0">
      <text>
        <t>Loan: BMO, 5 T680 Sleepers (Aug 2022). Interest = Opening * 4.42% / 12</t>
      </text>
    </comment>
    <comment ref="E202" authorId="0" shapeId="0">
      <text>
        <t>Loan: BMO, 5 T680 Sleepers (Aug 2022). Principal = MIN(Opening, Payment - Interest)</t>
      </text>
    </comment>
    <comment ref="F202" authorId="0" shapeId="0">
      <text>
        <t>Loan: BMO, 5 T680 Sleepers (Aug 2022). Closing = Opening - Principal</t>
      </text>
    </comment>
    <comment ref="C203" authorId="0" shapeId="0">
      <text>
        <t>Loan: BMO, 5 T680 Sleepers (Aug 2022). Source: Meiborg_Debt_Schedule_202511.xlsx</t>
      </text>
    </comment>
    <comment ref="D203" authorId="0" shapeId="0">
      <text>
        <t>Loan: BMO, 5 T680 Sleepers (Aug 2022). Interest = Opening * 4.42% / 12</t>
      </text>
    </comment>
    <comment ref="E203" authorId="0" shapeId="0">
      <text>
        <t>Loan: BMO, 5 T680 Sleepers (Aug 2022). Principal = MIN(Opening, Payment - Interest)</t>
      </text>
    </comment>
    <comment ref="F203" authorId="0" shapeId="0">
      <text>
        <t>Loan: BMO, 5 T680 Sleepers (Aug 2022). Closing = Opening - Principal</t>
      </text>
    </comment>
    <comment ref="C204" authorId="0" shapeId="0">
      <text>
        <t>Loan: BMO, 5 T680 Sleepers (Aug 2022). Source: Meiborg_Debt_Schedule_202511.xlsx</t>
      </text>
    </comment>
    <comment ref="D204" authorId="0" shapeId="0">
      <text>
        <t>Loan: BMO, 5 T680 Sleepers (Aug 2022). Interest = Opening * 4.42% / 12</t>
      </text>
    </comment>
    <comment ref="E204" authorId="0" shapeId="0">
      <text>
        <t>Loan: BMO, 5 T680 Sleepers (Aug 2022). Principal = MIN(Opening, Payment - Interest)</t>
      </text>
    </comment>
    <comment ref="F204" authorId="0" shapeId="0">
      <text>
        <t>Loan: BMO, 5 T680 Sleepers (Aug 2022). Closing = Opening - Principal</t>
      </text>
    </comment>
    <comment ref="C205" authorId="0" shapeId="0">
      <text>
        <t>Loan: BMO, 5 T680 Sleepers (Aug 2022). Source: Meiborg_Debt_Schedule_202511.xlsx</t>
      </text>
    </comment>
    <comment ref="D205" authorId="0" shapeId="0">
      <text>
        <t>Loan: BMO, 5 T680 Sleepers (Aug 2022). Interest = Opening * 4.42% / 12</t>
      </text>
    </comment>
    <comment ref="E205" authorId="0" shapeId="0">
      <text>
        <t>Loan: BMO, 5 T680 Sleepers (Aug 2022). Principal = MIN(Opening, Payment - Interest)</t>
      </text>
    </comment>
    <comment ref="F205" authorId="0" shapeId="0">
      <text>
        <t>Loan: BMO, 5 T680 Sleepers (Aug 2022). Closing = Opening - Principal</t>
      </text>
    </comment>
    <comment ref="C206" authorId="0" shapeId="0">
      <text>
        <t>Loan: BMO, 5 T680 Sleepers (Aug 2022). Source: Meiborg_Debt_Schedule_202511.xlsx</t>
      </text>
    </comment>
    <comment ref="D206" authorId="0" shapeId="0">
      <text>
        <t>Loan: BMO, 5 T680 Sleepers (Aug 2022). Interest = Opening * 4.42% / 12</t>
      </text>
    </comment>
    <comment ref="E206" authorId="0" shapeId="0">
      <text>
        <t>Loan: BMO, 5 T680 Sleepers (Aug 2022). Principal = MIN(Opening, Payment - Interest)</t>
      </text>
    </comment>
    <comment ref="F206" authorId="0" shapeId="0">
      <text>
        <t>Loan: BMO, 5 T680 Sleepers (Aug 2022). Closing = Opening - Principal</t>
      </text>
    </comment>
    <comment ref="C207" authorId="0" shapeId="0">
      <text>
        <t>Loan: BMO, 5 T680 Sleepers (Aug 2022). Source: Meiborg_Debt_Schedule_202511.xlsx</t>
      </text>
    </comment>
    <comment ref="D207" authorId="0" shapeId="0">
      <text>
        <t>Loan: BMO, 5 T680 Sleepers (Aug 2022). Interest = Opening * 4.42% / 12</t>
      </text>
    </comment>
    <comment ref="E207" authorId="0" shapeId="0">
      <text>
        <t>Loan: BMO, 5 T680 Sleepers (Aug 2022). Principal = MIN(Opening, Payment - Interest)</t>
      </text>
    </comment>
    <comment ref="F207" authorId="0" shapeId="0">
      <text>
        <t>Loan: BMO, 5 T680 Sleepers (Aug 2022). Closing = Opening - Principal</t>
      </text>
    </comment>
    <comment ref="D208" authorId="0" shapeId="0">
      <text>
        <t>Sum of rows 181-207: Total interest over remaining term</t>
      </text>
    </comment>
    <comment ref="E208" authorId="0" shapeId="0">
      <text>
        <t>Sum of rows 181-207: Total principal over remaining term</t>
      </text>
    </comment>
    <comment ref="B216" authorId="0" shapeId="0">
      <text>
        <t>Source: loans.md - BMO 5 T680 Daycabs (May 2023)
Extracted: 2026-05-19</t>
      </text>
    </comment>
    <comment ref="B217" authorId="0" shapeId="0">
      <text>
        <t>Source: loans.md - BMO 5 T680 Daycabs (May 2023)
Extracted: 2026-05-19</t>
      </text>
    </comment>
    <comment ref="B219" authorId="0" shapeId="0">
      <text>
        <t>Source: loans.md - BMO 5 T680 Daycabs (May 2023)
Extracted: 2026-05-19</t>
      </text>
    </comment>
    <comment ref="C224" authorId="0" shapeId="0">
      <text>
        <t>Loan: BMO, 5 T680 Daycabs (May 2023). Source: Meiborg_Debt_Schedule_202511.xlsx</t>
      </text>
    </comment>
    <comment ref="D224" authorId="0" shapeId="0">
      <text>
        <t>Loan: BMO, 5 T680 Daycabs (May 2023). Interest = Opening * 5.99% / 12</t>
      </text>
    </comment>
    <comment ref="E224" authorId="0" shapeId="0">
      <text>
        <t>Loan: BMO, 5 T680 Daycabs (May 2023). Principal = MIN(Opening, Payment - Interest)</t>
      </text>
    </comment>
    <comment ref="F224" authorId="0" shapeId="0">
      <text>
        <t>Loan: BMO, 5 T680 Daycabs (May 2023). Closing = Opening - Principal</t>
      </text>
    </comment>
    <comment ref="C225" authorId="0" shapeId="0">
      <text>
        <t>Loan: BMO, 5 T680 Daycabs (May 2023). Source: Meiborg_Debt_Schedule_202511.xlsx</t>
      </text>
    </comment>
    <comment ref="D225" authorId="0" shapeId="0">
      <text>
        <t>Loan: BMO, 5 T680 Daycabs (May 2023). Interest = Opening * 5.99% / 12</t>
      </text>
    </comment>
    <comment ref="E225" authorId="0" shapeId="0">
      <text>
        <t>Loan: BMO, 5 T680 Daycabs (May 2023). Principal = MIN(Opening, Payment - Interest)</t>
      </text>
    </comment>
    <comment ref="F225" authorId="0" shapeId="0">
      <text>
        <t>Loan: BMO, 5 T680 Daycabs (May 2023). Closing = Opening - Principal</t>
      </text>
    </comment>
    <comment ref="C226" authorId="0" shapeId="0">
      <text>
        <t>Loan: BMO, 5 T680 Daycabs (May 2023). Source: Meiborg_Debt_Schedule_202511.xlsx</t>
      </text>
    </comment>
    <comment ref="D226" authorId="0" shapeId="0">
      <text>
        <t>Loan: BMO, 5 T680 Daycabs (May 2023). Interest = Opening * 5.99% / 12</t>
      </text>
    </comment>
    <comment ref="E226" authorId="0" shapeId="0">
      <text>
        <t>Loan: BMO, 5 T680 Daycabs (May 2023). Principal = MIN(Opening, Payment - Interest)</t>
      </text>
    </comment>
    <comment ref="F226" authorId="0" shapeId="0">
      <text>
        <t>Loan: BMO, 5 T680 Daycabs (May 2023). Closing = Opening - Principal</t>
      </text>
    </comment>
    <comment ref="C227" authorId="0" shapeId="0">
      <text>
        <t>Loan: BMO, 5 T680 Daycabs (May 2023). Source: Meiborg_Debt_Schedule_202511.xlsx</t>
      </text>
    </comment>
    <comment ref="D227" authorId="0" shapeId="0">
      <text>
        <t>Loan: BMO, 5 T680 Daycabs (May 2023). Interest = Opening * 5.99% / 12</t>
      </text>
    </comment>
    <comment ref="E227" authorId="0" shapeId="0">
      <text>
        <t>Loan: BMO, 5 T680 Daycabs (May 2023). Principal = MIN(Opening, Payment - Interest)</t>
      </text>
    </comment>
    <comment ref="F227" authorId="0" shapeId="0">
      <text>
        <t>Loan: BMO, 5 T680 Daycabs (May 2023). Closing = Opening - Principal</t>
      </text>
    </comment>
    <comment ref="C228" authorId="0" shapeId="0">
      <text>
        <t>Loan: BMO, 5 T680 Daycabs (May 2023). Source: Meiborg_Debt_Schedule_202511.xlsx</t>
      </text>
    </comment>
    <comment ref="D228" authorId="0" shapeId="0">
      <text>
        <t>Loan: BMO, 5 T680 Daycabs (May 2023). Interest = Opening * 5.99% / 12</t>
      </text>
    </comment>
    <comment ref="E228" authorId="0" shapeId="0">
      <text>
        <t>Loan: BMO, 5 T680 Daycabs (May 2023). Principal = MIN(Opening, Payment - Interest)</t>
      </text>
    </comment>
    <comment ref="F228" authorId="0" shapeId="0">
      <text>
        <t>Loan: BMO, 5 T680 Daycabs (May 2023). Closing = Opening - Principal</t>
      </text>
    </comment>
    <comment ref="C229" authorId="0" shapeId="0">
      <text>
        <t>Loan: BMO, 5 T680 Daycabs (May 2023). Source: Meiborg_Debt_Schedule_202511.xlsx</t>
      </text>
    </comment>
    <comment ref="D229" authorId="0" shapeId="0">
      <text>
        <t>Loan: BMO, 5 T680 Daycabs (May 2023). Interest = Opening * 5.99% / 12</t>
      </text>
    </comment>
    <comment ref="E229" authorId="0" shapeId="0">
      <text>
        <t>Loan: BMO, 5 T680 Daycabs (May 2023). Principal = MIN(Opening, Payment - Interest)</t>
      </text>
    </comment>
    <comment ref="F229" authorId="0" shapeId="0">
      <text>
        <t>Loan: BMO, 5 T680 Daycabs (May 2023). Closing = Opening - Principal</t>
      </text>
    </comment>
    <comment ref="C230" authorId="0" shapeId="0">
      <text>
        <t>Loan: BMO, 5 T680 Daycabs (May 2023). Source: Meiborg_Debt_Schedule_202511.xlsx</t>
      </text>
    </comment>
    <comment ref="D230" authorId="0" shapeId="0">
      <text>
        <t>Loan: BMO, 5 T680 Daycabs (May 2023). Interest = Opening * 5.99% / 12</t>
      </text>
    </comment>
    <comment ref="E230" authorId="0" shapeId="0">
      <text>
        <t>Loan: BMO, 5 T680 Daycabs (May 2023). Principal = MIN(Opening, Payment - Interest)</t>
      </text>
    </comment>
    <comment ref="F230" authorId="0" shapeId="0">
      <text>
        <t>Loan: BMO, 5 T680 Daycabs (May 2023). Closing = Opening - Principal</t>
      </text>
    </comment>
    <comment ref="C231" authorId="0" shapeId="0">
      <text>
        <t>Loan: BMO, 5 T680 Daycabs (May 2023). Source: Meiborg_Debt_Schedule_202511.xlsx</t>
      </text>
    </comment>
    <comment ref="D231" authorId="0" shapeId="0">
      <text>
        <t>Loan: BMO, 5 T680 Daycabs (May 2023). Interest = Opening * 5.99% / 12</t>
      </text>
    </comment>
    <comment ref="E231" authorId="0" shapeId="0">
      <text>
        <t>Loan: BMO, 5 T680 Daycabs (May 2023). Principal = MIN(Opening, Payment - Interest)</t>
      </text>
    </comment>
    <comment ref="F231" authorId="0" shapeId="0">
      <text>
        <t>Loan: BMO, 5 T680 Daycabs (May 2023). Closing = Opening - Principal</t>
      </text>
    </comment>
    <comment ref="C232" authorId="0" shapeId="0">
      <text>
        <t>Loan: BMO, 5 T680 Daycabs (May 2023). Source: Meiborg_Debt_Schedule_202511.xlsx</t>
      </text>
    </comment>
    <comment ref="D232" authorId="0" shapeId="0">
      <text>
        <t>Loan: BMO, 5 T680 Daycabs (May 2023). Interest = Opening * 5.99% / 12</t>
      </text>
    </comment>
    <comment ref="E232" authorId="0" shapeId="0">
      <text>
        <t>Loan: BMO, 5 T680 Daycabs (May 2023). Principal = MIN(Opening, Payment - Interest)</t>
      </text>
    </comment>
    <comment ref="F232" authorId="0" shapeId="0">
      <text>
        <t>Loan: BMO, 5 T680 Daycabs (May 2023). Closing = Opening - Principal</t>
      </text>
    </comment>
    <comment ref="C233" authorId="0" shapeId="0">
      <text>
        <t>Loan: BMO, 5 T680 Daycabs (May 2023). Source: Meiborg_Debt_Schedule_202511.xlsx</t>
      </text>
    </comment>
    <comment ref="D233" authorId="0" shapeId="0">
      <text>
        <t>Loan: BMO, 5 T680 Daycabs (May 2023). Interest = Opening * 5.99% / 12</t>
      </text>
    </comment>
    <comment ref="E233" authorId="0" shapeId="0">
      <text>
        <t>Loan: BMO, 5 T680 Daycabs (May 2023). Principal = MIN(Opening, Payment - Interest)</t>
      </text>
    </comment>
    <comment ref="F233" authorId="0" shapeId="0">
      <text>
        <t>Loan: BMO, 5 T680 Daycabs (May 2023). Closing = Opening - Principal</t>
      </text>
    </comment>
    <comment ref="C234" authorId="0" shapeId="0">
      <text>
        <t>Loan: BMO, 5 T680 Daycabs (May 2023). Source: Meiborg_Debt_Schedule_202511.xlsx</t>
      </text>
    </comment>
    <comment ref="D234" authorId="0" shapeId="0">
      <text>
        <t>Loan: BMO, 5 T680 Daycabs (May 2023). Interest = Opening * 5.99% / 12</t>
      </text>
    </comment>
    <comment ref="E234" authorId="0" shapeId="0">
      <text>
        <t>Loan: BMO, 5 T680 Daycabs (May 2023). Principal = MIN(Opening, Payment - Interest)</t>
      </text>
    </comment>
    <comment ref="F234" authorId="0" shapeId="0">
      <text>
        <t>Loan: BMO, 5 T680 Daycabs (May 2023). Closing = Opening - Principal</t>
      </text>
    </comment>
    <comment ref="C235" authorId="0" shapeId="0">
      <text>
        <t>Loan: BMO, 5 T680 Daycabs (May 2023). Source: Meiborg_Debt_Schedule_202511.xlsx</t>
      </text>
    </comment>
    <comment ref="D235" authorId="0" shapeId="0">
      <text>
        <t>Loan: BMO, 5 T680 Daycabs (May 2023). Interest = Opening * 5.99% / 12</t>
      </text>
    </comment>
    <comment ref="E235" authorId="0" shapeId="0">
      <text>
        <t>Loan: BMO, 5 T680 Daycabs (May 2023). Principal = MIN(Opening, Payment - Interest)</t>
      </text>
    </comment>
    <comment ref="F235" authorId="0" shapeId="0">
      <text>
        <t>Loan: BMO, 5 T680 Daycabs (May 2023). Closing = Opening - Principal</t>
      </text>
    </comment>
    <comment ref="C236" authorId="0" shapeId="0">
      <text>
        <t>Loan: BMO, 5 T680 Daycabs (May 2023). Source: Meiborg_Debt_Schedule_202511.xlsx</t>
      </text>
    </comment>
    <comment ref="D236" authorId="0" shapeId="0">
      <text>
        <t>Loan: BMO, 5 T680 Daycabs (May 2023). Interest = Opening * 5.99% / 12</t>
      </text>
    </comment>
    <comment ref="E236" authorId="0" shapeId="0">
      <text>
        <t>Loan: BMO, 5 T680 Daycabs (May 2023). Principal = MIN(Opening, Payment - Interest)</t>
      </text>
    </comment>
    <comment ref="F236" authorId="0" shapeId="0">
      <text>
        <t>Loan: BMO, 5 T680 Daycabs (May 2023). Closing = Opening - Principal</t>
      </text>
    </comment>
    <comment ref="C237" authorId="0" shapeId="0">
      <text>
        <t>Loan: BMO, 5 T680 Daycabs (May 2023). Source: Meiborg_Debt_Schedule_202511.xlsx</t>
      </text>
    </comment>
    <comment ref="D237" authorId="0" shapeId="0">
      <text>
        <t>Loan: BMO, 5 T680 Daycabs (May 2023). Interest = Opening * 5.99% / 12</t>
      </text>
    </comment>
    <comment ref="E237" authorId="0" shapeId="0">
      <text>
        <t>Loan: BMO, 5 T680 Daycabs (May 2023). Principal = MIN(Opening, Payment - Interest)</t>
      </text>
    </comment>
    <comment ref="F237" authorId="0" shapeId="0">
      <text>
        <t>Loan: BMO, 5 T680 Daycabs (May 2023). Closing = Opening - Principal</t>
      </text>
    </comment>
    <comment ref="C238" authorId="0" shapeId="0">
      <text>
        <t>Loan: BMO, 5 T680 Daycabs (May 2023). Source: Meiborg_Debt_Schedule_202511.xlsx</t>
      </text>
    </comment>
    <comment ref="D238" authorId="0" shapeId="0">
      <text>
        <t>Loan: BMO, 5 T680 Daycabs (May 2023). Interest = Opening * 5.99% / 12</t>
      </text>
    </comment>
    <comment ref="E238" authorId="0" shapeId="0">
      <text>
        <t>Loan: BMO, 5 T680 Daycabs (May 2023). Principal = MIN(Opening, Payment - Interest)</t>
      </text>
    </comment>
    <comment ref="F238" authorId="0" shapeId="0">
      <text>
        <t>Loan: BMO, 5 T680 Daycabs (May 2023). Closing = Opening - Principal</t>
      </text>
    </comment>
    <comment ref="C239" authorId="0" shapeId="0">
      <text>
        <t>Loan: BMO, 5 T680 Daycabs (May 2023). Source: Meiborg_Debt_Schedule_202511.xlsx</t>
      </text>
    </comment>
    <comment ref="D239" authorId="0" shapeId="0">
      <text>
        <t>Loan: BMO, 5 T680 Daycabs (May 2023). Interest = Opening * 5.99% / 12</t>
      </text>
    </comment>
    <comment ref="E239" authorId="0" shapeId="0">
      <text>
        <t>Loan: BMO, 5 T680 Daycabs (May 2023). Principal = MIN(Opening, Payment - Interest)</t>
      </text>
    </comment>
    <comment ref="F239" authorId="0" shapeId="0">
      <text>
        <t>Loan: BMO, 5 T680 Daycabs (May 2023). Closing = Opening - Principal</t>
      </text>
    </comment>
    <comment ref="C240" authorId="0" shapeId="0">
      <text>
        <t>Loan: BMO, 5 T680 Daycabs (May 2023). Source: Meiborg_Debt_Schedule_202511.xlsx</t>
      </text>
    </comment>
    <comment ref="D240" authorId="0" shapeId="0">
      <text>
        <t>Loan: BMO, 5 T680 Daycabs (May 2023). Interest = Opening * 5.99% / 12</t>
      </text>
    </comment>
    <comment ref="E240" authorId="0" shapeId="0">
      <text>
        <t>Loan: BMO, 5 T680 Daycabs (May 2023). Principal = MIN(Opening, Payment - Interest)</t>
      </text>
    </comment>
    <comment ref="F240" authorId="0" shapeId="0">
      <text>
        <t>Loan: BMO, 5 T680 Daycabs (May 2023). Closing = Opening - Principal</t>
      </text>
    </comment>
    <comment ref="C241" authorId="0" shapeId="0">
      <text>
        <t>Loan: BMO, 5 T680 Daycabs (May 2023). Source: Meiborg_Debt_Schedule_202511.xlsx</t>
      </text>
    </comment>
    <comment ref="D241" authorId="0" shapeId="0">
      <text>
        <t>Loan: BMO, 5 T680 Daycabs (May 2023). Interest = Opening * 5.99% / 12</t>
      </text>
    </comment>
    <comment ref="E241" authorId="0" shapeId="0">
      <text>
        <t>Loan: BMO, 5 T680 Daycabs (May 2023). Principal = MIN(Opening, Payment - Interest)</t>
      </text>
    </comment>
    <comment ref="F241" authorId="0" shapeId="0">
      <text>
        <t>Loan: BMO, 5 T680 Daycabs (May 2023). Closing = Opening - Principal</t>
      </text>
    </comment>
    <comment ref="C242" authorId="0" shapeId="0">
      <text>
        <t>Loan: BMO, 5 T680 Daycabs (May 2023). Source: Meiborg_Debt_Schedule_202511.xlsx</t>
      </text>
    </comment>
    <comment ref="D242" authorId="0" shapeId="0">
      <text>
        <t>Loan: BMO, 5 T680 Daycabs (May 2023). Interest = Opening * 5.99% / 12</t>
      </text>
    </comment>
    <comment ref="E242" authorId="0" shapeId="0">
      <text>
        <t>Loan: BMO, 5 T680 Daycabs (May 2023). Principal = MIN(Opening, Payment - Interest)</t>
      </text>
    </comment>
    <comment ref="F242" authorId="0" shapeId="0">
      <text>
        <t>Loan: BMO, 5 T680 Daycabs (May 2023). Closing = Opening - Principal</t>
      </text>
    </comment>
    <comment ref="C243" authorId="0" shapeId="0">
      <text>
        <t>Loan: BMO, 5 T680 Daycabs (May 2023). Source: Meiborg_Debt_Schedule_202511.xlsx</t>
      </text>
    </comment>
    <comment ref="D243" authorId="0" shapeId="0">
      <text>
        <t>Loan: BMO, 5 T680 Daycabs (May 2023). Interest = Opening * 5.99% / 12</t>
      </text>
    </comment>
    <comment ref="E243" authorId="0" shapeId="0">
      <text>
        <t>Loan: BMO, 5 T680 Daycabs (May 2023). Principal = MIN(Opening, Payment - Interest)</t>
      </text>
    </comment>
    <comment ref="F243" authorId="0" shapeId="0">
      <text>
        <t>Loan: BMO, 5 T680 Daycabs (May 2023). Closing = Opening - Principal</t>
      </text>
    </comment>
    <comment ref="C244" authorId="0" shapeId="0">
      <text>
        <t>Loan: BMO, 5 T680 Daycabs (May 2023). Source: Meiborg_Debt_Schedule_202511.xlsx</t>
      </text>
    </comment>
    <comment ref="D244" authorId="0" shapeId="0">
      <text>
        <t>Loan: BMO, 5 T680 Daycabs (May 2023). Interest = Opening * 5.99% / 12</t>
      </text>
    </comment>
    <comment ref="E244" authorId="0" shapeId="0">
      <text>
        <t>Loan: BMO, 5 T680 Daycabs (May 2023). Principal = MIN(Opening, Payment - Interest)</t>
      </text>
    </comment>
    <comment ref="F244" authorId="0" shapeId="0">
      <text>
        <t>Loan: BMO, 5 T680 Daycabs (May 2023). Closing = Opening - Principal</t>
      </text>
    </comment>
    <comment ref="C245" authorId="0" shapeId="0">
      <text>
        <t>Loan: BMO, 5 T680 Daycabs (May 2023). Source: Meiborg_Debt_Schedule_202511.xlsx</t>
      </text>
    </comment>
    <comment ref="D245" authorId="0" shapeId="0">
      <text>
        <t>Loan: BMO, 5 T680 Daycabs (May 2023). Interest = Opening * 5.99% / 12</t>
      </text>
    </comment>
    <comment ref="E245" authorId="0" shapeId="0">
      <text>
        <t>Loan: BMO, 5 T680 Daycabs (May 2023). Principal = MIN(Opening, Payment - Interest)</t>
      </text>
    </comment>
    <comment ref="F245" authorId="0" shapeId="0">
      <text>
        <t>Loan: BMO, 5 T680 Daycabs (May 2023). Closing = Opening - Principal</t>
      </text>
    </comment>
    <comment ref="C246" authorId="0" shapeId="0">
      <text>
        <t>Loan: BMO, 5 T680 Daycabs (May 2023). Source: Meiborg_Debt_Schedule_202511.xlsx</t>
      </text>
    </comment>
    <comment ref="D246" authorId="0" shapeId="0">
      <text>
        <t>Loan: BMO, 5 T680 Daycabs (May 2023). Interest = Opening * 5.99% / 12</t>
      </text>
    </comment>
    <comment ref="E246" authorId="0" shapeId="0">
      <text>
        <t>Loan: BMO, 5 T680 Daycabs (May 2023). Principal = MIN(Opening, Payment - Interest)</t>
      </text>
    </comment>
    <comment ref="F246" authorId="0" shapeId="0">
      <text>
        <t>Loan: BMO, 5 T680 Daycabs (May 2023). Closing = Opening - Principal</t>
      </text>
    </comment>
    <comment ref="C247" authorId="0" shapeId="0">
      <text>
        <t>Loan: BMO, 5 T680 Daycabs (May 2023). Source: Meiborg_Debt_Schedule_202511.xlsx</t>
      </text>
    </comment>
    <comment ref="D247" authorId="0" shapeId="0">
      <text>
        <t>Loan: BMO, 5 T680 Daycabs (May 2023). Interest = Opening * 5.99% / 12</t>
      </text>
    </comment>
    <comment ref="E247" authorId="0" shapeId="0">
      <text>
        <t>Loan: BMO, 5 T680 Daycabs (May 2023). Principal = MIN(Opening, Payment - Interest)</t>
      </text>
    </comment>
    <comment ref="F247" authorId="0" shapeId="0">
      <text>
        <t>Loan: BMO, 5 T680 Daycabs (May 2023). Closing = Opening - Principal</t>
      </text>
    </comment>
    <comment ref="C248" authorId="0" shapeId="0">
      <text>
        <t>Loan: BMO, 5 T680 Daycabs (May 2023). Source: Meiborg_Debt_Schedule_202511.xlsx</t>
      </text>
    </comment>
    <comment ref="D248" authorId="0" shapeId="0">
      <text>
        <t>Loan: BMO, 5 T680 Daycabs (May 2023). Interest = Opening * 5.99% / 12</t>
      </text>
    </comment>
    <comment ref="E248" authorId="0" shapeId="0">
      <text>
        <t>Loan: BMO, 5 T680 Daycabs (May 2023). Principal = MIN(Opening, Payment - Interest)</t>
      </text>
    </comment>
    <comment ref="F248" authorId="0" shapeId="0">
      <text>
        <t>Loan: BMO, 5 T680 Daycabs (May 2023). Closing = Opening - Principal</t>
      </text>
    </comment>
    <comment ref="C249" authorId="0" shapeId="0">
      <text>
        <t>Loan: BMO, 5 T680 Daycabs (May 2023). Source: Meiborg_Debt_Schedule_202511.xlsx</t>
      </text>
    </comment>
    <comment ref="D249" authorId="0" shapeId="0">
      <text>
        <t>Loan: BMO, 5 T680 Daycabs (May 2023). Interest = Opening * 5.99% / 12</t>
      </text>
    </comment>
    <comment ref="E249" authorId="0" shapeId="0">
      <text>
        <t>Loan: BMO, 5 T680 Daycabs (May 2023). Principal = MIN(Opening, Payment - Interest)</t>
      </text>
    </comment>
    <comment ref="F249" authorId="0" shapeId="0">
      <text>
        <t>Loan: BMO, 5 T680 Daycabs (May 2023). Closing = Opening - Principal</t>
      </text>
    </comment>
    <comment ref="C250" authorId="0" shapeId="0">
      <text>
        <t>Loan: BMO, 5 T680 Daycabs (May 2023). Source: Meiborg_Debt_Schedule_202511.xlsx</t>
      </text>
    </comment>
    <comment ref="D250" authorId="0" shapeId="0">
      <text>
        <t>Loan: BMO, 5 T680 Daycabs (May 2023). Interest = Opening * 5.99% / 12</t>
      </text>
    </comment>
    <comment ref="E250" authorId="0" shapeId="0">
      <text>
        <t>Loan: BMO, 5 T680 Daycabs (May 2023). Principal = MIN(Opening, Payment - Interest)</t>
      </text>
    </comment>
    <comment ref="F250" authorId="0" shapeId="0">
      <text>
        <t>Loan: BMO, 5 T680 Daycabs (May 2023). Closing = Opening - Principal</t>
      </text>
    </comment>
    <comment ref="C251" authorId="0" shapeId="0">
      <text>
        <t>Loan: BMO, 5 T680 Daycabs (May 2023). Source: Meiborg_Debt_Schedule_202511.xlsx</t>
      </text>
    </comment>
    <comment ref="D251" authorId="0" shapeId="0">
      <text>
        <t>Loan: BMO, 5 T680 Daycabs (May 2023). Interest = Opening * 5.99% / 12</t>
      </text>
    </comment>
    <comment ref="E251" authorId="0" shapeId="0">
      <text>
        <t>Loan: BMO, 5 T680 Daycabs (May 2023). Principal = MIN(Opening, Payment - Interest)</t>
      </text>
    </comment>
    <comment ref="F251" authorId="0" shapeId="0">
      <text>
        <t>Loan: BMO, 5 T680 Daycabs (May 2023). Closing = Opening - Principal</t>
      </text>
    </comment>
    <comment ref="C252" authorId="0" shapeId="0">
      <text>
        <t>Loan: BMO, 5 T680 Daycabs (May 2023). Source: Meiborg_Debt_Schedule_202511.xlsx</t>
      </text>
    </comment>
    <comment ref="D252" authorId="0" shapeId="0">
      <text>
        <t>Loan: BMO, 5 T680 Daycabs (May 2023). Interest = Opening * 5.99% / 12</t>
      </text>
    </comment>
    <comment ref="E252" authorId="0" shapeId="0">
      <text>
        <t>Loan: BMO, 5 T680 Daycabs (May 2023). Principal = MIN(Opening, Payment - Interest)</t>
      </text>
    </comment>
    <comment ref="F252" authorId="0" shapeId="0">
      <text>
        <t>Loan: BMO, 5 T680 Daycabs (May 2023). Closing = Opening - Principal</t>
      </text>
    </comment>
    <comment ref="C253" authorId="0" shapeId="0">
      <text>
        <t>Loan: BMO, 5 T680 Daycabs (May 2023). Source: Meiborg_Debt_Schedule_202511.xlsx</t>
      </text>
    </comment>
    <comment ref="D253" authorId="0" shapeId="0">
      <text>
        <t>Loan: BMO, 5 T680 Daycabs (May 2023). Interest = Opening * 5.99% / 12</t>
      </text>
    </comment>
    <comment ref="E253" authorId="0" shapeId="0">
      <text>
        <t>Loan: BMO, 5 T680 Daycabs (May 2023). Principal = MIN(Opening, Payment - Interest)</t>
      </text>
    </comment>
    <comment ref="F253" authorId="0" shapeId="0">
      <text>
        <t>Loan: BMO, 5 T680 Daycabs (May 2023). Closing = Opening - Principal</t>
      </text>
    </comment>
    <comment ref="C254" authorId="0" shapeId="0">
      <text>
        <t>Loan: BMO, 5 T680 Daycabs (May 2023). Source: Meiborg_Debt_Schedule_202511.xlsx</t>
      </text>
    </comment>
    <comment ref="D254" authorId="0" shapeId="0">
      <text>
        <t>Loan: BMO, 5 T680 Daycabs (May 2023). Interest = Opening * 5.99% / 12</t>
      </text>
    </comment>
    <comment ref="E254" authorId="0" shapeId="0">
      <text>
        <t>Loan: BMO, 5 T680 Daycabs (May 2023). Principal = MIN(Opening, Payment - Interest)</t>
      </text>
    </comment>
    <comment ref="F254" authorId="0" shapeId="0">
      <text>
        <t>Loan: BMO, 5 T680 Daycabs (May 2023). Closing = Opening - Principal</t>
      </text>
    </comment>
    <comment ref="C255" authorId="0" shapeId="0">
      <text>
        <t>Loan: BMO, 5 T680 Daycabs (May 2023). Source: Meiborg_Debt_Schedule_202511.xlsx</t>
      </text>
    </comment>
    <comment ref="D255" authorId="0" shapeId="0">
      <text>
        <t>Loan: BMO, 5 T680 Daycabs (May 2023). Interest = Opening * 5.99% / 12</t>
      </text>
    </comment>
    <comment ref="E255" authorId="0" shapeId="0">
      <text>
        <t>Loan: BMO, 5 T680 Daycabs (May 2023). Principal = MIN(Opening, Payment - Interest)</t>
      </text>
    </comment>
    <comment ref="F255" authorId="0" shapeId="0">
      <text>
        <t>Loan: BMO, 5 T680 Daycabs (May 2023). Closing = Opening - Principal</t>
      </text>
    </comment>
    <comment ref="C256" authorId="0" shapeId="0">
      <text>
        <t>Loan: BMO, 5 T680 Daycabs (May 2023). Source: Meiborg_Debt_Schedule_202511.xlsx</t>
      </text>
    </comment>
    <comment ref="D256" authorId="0" shapeId="0">
      <text>
        <t>Loan: BMO, 5 T680 Daycabs (May 2023). Interest = Opening * 5.99% / 12</t>
      </text>
    </comment>
    <comment ref="E256" authorId="0" shapeId="0">
      <text>
        <t>Loan: BMO, 5 T680 Daycabs (May 2023). Principal = MIN(Opening, Payment - Interest)</t>
      </text>
    </comment>
    <comment ref="F256" authorId="0" shapeId="0">
      <text>
        <t>Loan: BMO, 5 T680 Daycabs (May 2023). Closing = Opening - Principal</t>
      </text>
    </comment>
    <comment ref="C257" authorId="0" shapeId="0">
      <text>
        <t>Loan: BMO, 5 T680 Daycabs (May 2023). Source: Meiborg_Debt_Schedule_202511.xlsx</t>
      </text>
    </comment>
    <comment ref="D257" authorId="0" shapeId="0">
      <text>
        <t>Loan: BMO, 5 T680 Daycabs (May 2023). Interest = Opening * 5.99% / 12</t>
      </text>
    </comment>
    <comment ref="E257" authorId="0" shapeId="0">
      <text>
        <t>Loan: BMO, 5 T680 Daycabs (May 2023). Principal = MIN(Opening, Payment - Interest)</t>
      </text>
    </comment>
    <comment ref="F257" authorId="0" shapeId="0">
      <text>
        <t>Loan: BMO, 5 T680 Daycabs (May 2023). Closing = Opening - Principal</t>
      </text>
    </comment>
    <comment ref="C258" authorId="0" shapeId="0">
      <text>
        <t>Loan: BMO, 5 T680 Daycabs (May 2023). Source: Meiborg_Debt_Schedule_202511.xlsx</t>
      </text>
    </comment>
    <comment ref="D258" authorId="0" shapeId="0">
      <text>
        <t>Loan: BMO, 5 T680 Daycabs (May 2023). Interest = Opening * 5.99% / 12</t>
      </text>
    </comment>
    <comment ref="E258" authorId="0" shapeId="0">
      <text>
        <t>Loan: BMO, 5 T680 Daycabs (May 2023). Principal = MIN(Opening, Payment - Interest)</t>
      </text>
    </comment>
    <comment ref="F258" authorId="0" shapeId="0">
      <text>
        <t>Loan: BMO, 5 T680 Daycabs (May 2023). Closing = Opening - Principal</t>
      </text>
    </comment>
    <comment ref="C259" authorId="0" shapeId="0">
      <text>
        <t>Loan: BMO, 5 T680 Daycabs (May 2023). Source: Meiborg_Debt_Schedule_202511.xlsx</t>
      </text>
    </comment>
    <comment ref="D259" authorId="0" shapeId="0">
      <text>
        <t>Loan: BMO, 5 T680 Daycabs (May 2023). Interest = Opening * 5.99% / 12</t>
      </text>
    </comment>
    <comment ref="E259" authorId="0" shapeId="0">
      <text>
        <t>Loan: BMO, 5 T680 Daycabs (May 2023). Principal = MIN(Opening, Payment - Interest)</t>
      </text>
    </comment>
    <comment ref="F259" authorId="0" shapeId="0">
      <text>
        <t>Loan: BMO, 5 T680 Daycabs (May 2023). Closing = Opening - Principal</t>
      </text>
    </comment>
    <comment ref="C260" authorId="0" shapeId="0">
      <text>
        <t>Loan: BMO, 5 T680 Daycabs (May 2023). Source: Meiborg_Debt_Schedule_202511.xlsx</t>
      </text>
    </comment>
    <comment ref="D260" authorId="0" shapeId="0">
      <text>
        <t>Loan: BMO, 5 T680 Daycabs (May 2023). Interest = Opening * 5.99% / 12</t>
      </text>
    </comment>
    <comment ref="E260" authorId="0" shapeId="0">
      <text>
        <t>Loan: BMO, 5 T680 Daycabs (May 2023). Principal = MIN(Opening, Payment - Interest)</t>
      </text>
    </comment>
    <comment ref="F260" authorId="0" shapeId="0">
      <text>
        <t>Loan: BMO, 5 T680 Daycabs (May 2023). Closing = Opening - Principal</t>
      </text>
    </comment>
    <comment ref="D261" authorId="0" shapeId="0">
      <text>
        <t>Sum of rows 224-260: Total interest over remaining term</t>
      </text>
    </comment>
    <comment ref="E261" authorId="0" shapeId="0">
      <text>
        <t>Sum of rows 224-260: Total principal over remaining term</t>
      </text>
    </comment>
    <comment ref="B269" authorId="0" shapeId="0">
      <text>
        <t>Source: loans.md - BMO 1 Peterbilt 579 (May 2023)
Extracted: 2026-05-19</t>
      </text>
    </comment>
    <comment ref="B270" authorId="0" shapeId="0">
      <text>
        <t>Source: loans.md - BMO 1 Peterbilt 579 (May 2023)
Extracted: 2026-05-19</t>
      </text>
    </comment>
    <comment ref="B272" authorId="0" shapeId="0">
      <text>
        <t>Source: loans.md - BMO 1 Peterbilt 579 (May 2023)
Extracted: 2026-05-19</t>
      </text>
    </comment>
    <comment ref="C277" authorId="0" shapeId="0">
      <text>
        <t>Loan: BMO, 1 Peterbilt 579 (May 2023). Source: Meiborg_Debt_Schedule_202511.xlsx</t>
      </text>
    </comment>
    <comment ref="D277" authorId="0" shapeId="0">
      <text>
        <t>Loan: BMO, 1 Peterbilt 579 (May 2023). Interest = Opening * 5.99% / 12</t>
      </text>
    </comment>
    <comment ref="E277" authorId="0" shapeId="0">
      <text>
        <t>Loan: BMO, 1 Peterbilt 579 (May 2023). Principal = MIN(Opening, Payment - Interest)</t>
      </text>
    </comment>
    <comment ref="F277" authorId="0" shapeId="0">
      <text>
        <t>Loan: BMO, 1 Peterbilt 579 (May 2023). Closing = Opening - Principal</t>
      </text>
    </comment>
    <comment ref="C278" authorId="0" shapeId="0">
      <text>
        <t>Loan: BMO, 1 Peterbilt 579 (May 2023). Source: Meiborg_Debt_Schedule_202511.xlsx</t>
      </text>
    </comment>
    <comment ref="D278" authorId="0" shapeId="0">
      <text>
        <t>Loan: BMO, 1 Peterbilt 579 (May 2023). Interest = Opening * 5.99% / 12</t>
      </text>
    </comment>
    <comment ref="E278" authorId="0" shapeId="0">
      <text>
        <t>Loan: BMO, 1 Peterbilt 579 (May 2023). Principal = MIN(Opening, Payment - Interest)</t>
      </text>
    </comment>
    <comment ref="F278" authorId="0" shapeId="0">
      <text>
        <t>Loan: BMO, 1 Peterbilt 579 (May 2023). Closing = Opening - Principal</t>
      </text>
    </comment>
    <comment ref="C279" authorId="0" shapeId="0">
      <text>
        <t>Loan: BMO, 1 Peterbilt 579 (May 2023). Source: Meiborg_Debt_Schedule_202511.xlsx</t>
      </text>
    </comment>
    <comment ref="D279" authorId="0" shapeId="0">
      <text>
        <t>Loan: BMO, 1 Peterbilt 579 (May 2023). Interest = Opening * 5.99% / 12</t>
      </text>
    </comment>
    <comment ref="E279" authorId="0" shapeId="0">
      <text>
        <t>Loan: BMO, 1 Peterbilt 579 (May 2023). Principal = MIN(Opening, Payment - Interest)</t>
      </text>
    </comment>
    <comment ref="F279" authorId="0" shapeId="0">
      <text>
        <t>Loan: BMO, 1 Peterbilt 579 (May 2023). Closing = Opening - Principal</t>
      </text>
    </comment>
    <comment ref="C280" authorId="0" shapeId="0">
      <text>
        <t>Loan: BMO, 1 Peterbilt 579 (May 2023). Source: Meiborg_Debt_Schedule_202511.xlsx</t>
      </text>
    </comment>
    <comment ref="D280" authorId="0" shapeId="0">
      <text>
        <t>Loan: BMO, 1 Peterbilt 579 (May 2023). Interest = Opening * 5.99% / 12</t>
      </text>
    </comment>
    <comment ref="E280" authorId="0" shapeId="0">
      <text>
        <t>Loan: BMO, 1 Peterbilt 579 (May 2023). Principal = MIN(Opening, Payment - Interest)</t>
      </text>
    </comment>
    <comment ref="F280" authorId="0" shapeId="0">
      <text>
        <t>Loan: BMO, 1 Peterbilt 579 (May 2023). Closing = Opening - Principal</t>
      </text>
    </comment>
    <comment ref="C281" authorId="0" shapeId="0">
      <text>
        <t>Loan: BMO, 1 Peterbilt 579 (May 2023). Source: Meiborg_Debt_Schedule_202511.xlsx</t>
      </text>
    </comment>
    <comment ref="D281" authorId="0" shapeId="0">
      <text>
        <t>Loan: BMO, 1 Peterbilt 579 (May 2023). Interest = Opening * 5.99% / 12</t>
      </text>
    </comment>
    <comment ref="E281" authorId="0" shapeId="0">
      <text>
        <t>Loan: BMO, 1 Peterbilt 579 (May 2023). Principal = MIN(Opening, Payment - Interest)</t>
      </text>
    </comment>
    <comment ref="F281" authorId="0" shapeId="0">
      <text>
        <t>Loan: BMO, 1 Peterbilt 579 (May 2023). Closing = Opening - Principal</t>
      </text>
    </comment>
    <comment ref="C282" authorId="0" shapeId="0">
      <text>
        <t>Loan: BMO, 1 Peterbilt 579 (May 2023). Source: Meiborg_Debt_Schedule_202511.xlsx</t>
      </text>
    </comment>
    <comment ref="D282" authorId="0" shapeId="0">
      <text>
        <t>Loan: BMO, 1 Peterbilt 579 (May 2023). Interest = Opening * 5.99% / 12</t>
      </text>
    </comment>
    <comment ref="E282" authorId="0" shapeId="0">
      <text>
        <t>Loan: BMO, 1 Peterbilt 579 (May 2023). Principal = MIN(Opening, Payment - Interest)</t>
      </text>
    </comment>
    <comment ref="F282" authorId="0" shapeId="0">
      <text>
        <t>Loan: BMO, 1 Peterbilt 579 (May 2023). Closing = Opening - Principal</t>
      </text>
    </comment>
    <comment ref="C283" authorId="0" shapeId="0">
      <text>
        <t>Loan: BMO, 1 Peterbilt 579 (May 2023). Source: Meiborg_Debt_Schedule_202511.xlsx</t>
      </text>
    </comment>
    <comment ref="D283" authorId="0" shapeId="0">
      <text>
        <t>Loan: BMO, 1 Peterbilt 579 (May 2023). Interest = Opening * 5.99% / 12</t>
      </text>
    </comment>
    <comment ref="E283" authorId="0" shapeId="0">
      <text>
        <t>Loan: BMO, 1 Peterbilt 579 (May 2023). Principal = MIN(Opening, Payment - Interest)</t>
      </text>
    </comment>
    <comment ref="F283" authorId="0" shapeId="0">
      <text>
        <t>Loan: BMO, 1 Peterbilt 579 (May 2023). Closing = Opening - Principal</t>
      </text>
    </comment>
    <comment ref="C284" authorId="0" shapeId="0">
      <text>
        <t>Loan: BMO, 1 Peterbilt 579 (May 2023). Source: Meiborg_Debt_Schedule_202511.xlsx</t>
      </text>
    </comment>
    <comment ref="D284" authorId="0" shapeId="0">
      <text>
        <t>Loan: BMO, 1 Peterbilt 579 (May 2023). Interest = Opening * 5.99% / 12</t>
      </text>
    </comment>
    <comment ref="E284" authorId="0" shapeId="0">
      <text>
        <t>Loan: BMO, 1 Peterbilt 579 (May 2023). Principal = MIN(Opening, Payment - Interest)</t>
      </text>
    </comment>
    <comment ref="F284" authorId="0" shapeId="0">
      <text>
        <t>Loan: BMO, 1 Peterbilt 579 (May 2023). Closing = Opening - Principal</t>
      </text>
    </comment>
    <comment ref="C285" authorId="0" shapeId="0">
      <text>
        <t>Loan: BMO, 1 Peterbilt 579 (May 2023). Source: Meiborg_Debt_Schedule_202511.xlsx</t>
      </text>
    </comment>
    <comment ref="D285" authorId="0" shapeId="0">
      <text>
        <t>Loan: BMO, 1 Peterbilt 579 (May 2023). Interest = Opening * 5.99% / 12</t>
      </text>
    </comment>
    <comment ref="E285" authorId="0" shapeId="0">
      <text>
        <t>Loan: BMO, 1 Peterbilt 579 (May 2023). Principal = MIN(Opening, Payment - Interest)</t>
      </text>
    </comment>
    <comment ref="F285" authorId="0" shapeId="0">
      <text>
        <t>Loan: BMO, 1 Peterbilt 579 (May 2023). Closing = Opening - Principal</t>
      </text>
    </comment>
    <comment ref="C286" authorId="0" shapeId="0">
      <text>
        <t>Loan: BMO, 1 Peterbilt 579 (May 2023). Source: Meiborg_Debt_Schedule_202511.xlsx</t>
      </text>
    </comment>
    <comment ref="D286" authorId="0" shapeId="0">
      <text>
        <t>Loan: BMO, 1 Peterbilt 579 (May 2023). Interest = Opening * 5.99% / 12</t>
      </text>
    </comment>
    <comment ref="E286" authorId="0" shapeId="0">
      <text>
        <t>Loan: BMO, 1 Peterbilt 579 (May 2023). Principal = MIN(Opening, Payment - Interest)</t>
      </text>
    </comment>
    <comment ref="F286" authorId="0" shapeId="0">
      <text>
        <t>Loan: BMO, 1 Peterbilt 579 (May 2023). Closing = Opening - Principal</t>
      </text>
    </comment>
    <comment ref="C287" authorId="0" shapeId="0">
      <text>
        <t>Loan: BMO, 1 Peterbilt 579 (May 2023). Source: Meiborg_Debt_Schedule_202511.xlsx</t>
      </text>
    </comment>
    <comment ref="D287" authorId="0" shapeId="0">
      <text>
        <t>Loan: BMO, 1 Peterbilt 579 (May 2023). Interest = Opening * 5.99% / 12</t>
      </text>
    </comment>
    <comment ref="E287" authorId="0" shapeId="0">
      <text>
        <t>Loan: BMO, 1 Peterbilt 579 (May 2023). Principal = MIN(Opening, Payment - Interest)</t>
      </text>
    </comment>
    <comment ref="F287" authorId="0" shapeId="0">
      <text>
        <t>Loan: BMO, 1 Peterbilt 579 (May 2023). Closing = Opening - Principal</t>
      </text>
    </comment>
    <comment ref="C288" authorId="0" shapeId="0">
      <text>
        <t>Loan: BMO, 1 Peterbilt 579 (May 2023). Source: Meiborg_Debt_Schedule_202511.xlsx</t>
      </text>
    </comment>
    <comment ref="D288" authorId="0" shapeId="0">
      <text>
        <t>Loan: BMO, 1 Peterbilt 579 (May 2023). Interest = Opening * 5.99% / 12</t>
      </text>
    </comment>
    <comment ref="E288" authorId="0" shapeId="0">
      <text>
        <t>Loan: BMO, 1 Peterbilt 579 (May 2023). Principal = MIN(Opening, Payment - Interest)</t>
      </text>
    </comment>
    <comment ref="F288" authorId="0" shapeId="0">
      <text>
        <t>Loan: BMO, 1 Peterbilt 579 (May 2023). Closing = Opening - Principal</t>
      </text>
    </comment>
    <comment ref="C289" authorId="0" shapeId="0">
      <text>
        <t>Loan: BMO, 1 Peterbilt 579 (May 2023). Source: Meiborg_Debt_Schedule_202511.xlsx</t>
      </text>
    </comment>
    <comment ref="D289" authorId="0" shapeId="0">
      <text>
        <t>Loan: BMO, 1 Peterbilt 579 (May 2023). Interest = Opening * 5.99% / 12</t>
      </text>
    </comment>
    <comment ref="E289" authorId="0" shapeId="0">
      <text>
        <t>Loan: BMO, 1 Peterbilt 579 (May 2023). Principal = MIN(Opening, Payment - Interest)</t>
      </text>
    </comment>
    <comment ref="F289" authorId="0" shapeId="0">
      <text>
        <t>Loan: BMO, 1 Peterbilt 579 (May 2023). Closing = Opening - Principal</t>
      </text>
    </comment>
    <comment ref="C290" authorId="0" shapeId="0">
      <text>
        <t>Loan: BMO, 1 Peterbilt 579 (May 2023). Source: Meiborg_Debt_Schedule_202511.xlsx</t>
      </text>
    </comment>
    <comment ref="D290" authorId="0" shapeId="0">
      <text>
        <t>Loan: BMO, 1 Peterbilt 579 (May 2023). Interest = Opening * 5.99% / 12</t>
      </text>
    </comment>
    <comment ref="E290" authorId="0" shapeId="0">
      <text>
        <t>Loan: BMO, 1 Peterbilt 579 (May 2023). Principal = MIN(Opening, Payment - Interest)</t>
      </text>
    </comment>
    <comment ref="F290" authorId="0" shapeId="0">
      <text>
        <t>Loan: BMO, 1 Peterbilt 579 (May 2023). Closing = Opening - Principal</t>
      </text>
    </comment>
    <comment ref="C291" authorId="0" shapeId="0">
      <text>
        <t>Loan: BMO, 1 Peterbilt 579 (May 2023). Source: Meiborg_Debt_Schedule_202511.xlsx</t>
      </text>
    </comment>
    <comment ref="D291" authorId="0" shapeId="0">
      <text>
        <t>Loan: BMO, 1 Peterbilt 579 (May 2023). Interest = Opening * 5.99% / 12</t>
      </text>
    </comment>
    <comment ref="E291" authorId="0" shapeId="0">
      <text>
        <t>Loan: BMO, 1 Peterbilt 579 (May 2023). Principal = MIN(Opening, Payment - Interest)</t>
      </text>
    </comment>
    <comment ref="F291" authorId="0" shapeId="0">
      <text>
        <t>Loan: BMO, 1 Peterbilt 579 (May 2023). Closing = Opening - Principal</t>
      </text>
    </comment>
    <comment ref="C292" authorId="0" shapeId="0">
      <text>
        <t>Loan: BMO, 1 Peterbilt 579 (May 2023). Source: Meiborg_Debt_Schedule_202511.xlsx</t>
      </text>
    </comment>
    <comment ref="D292" authorId="0" shapeId="0">
      <text>
        <t>Loan: BMO, 1 Peterbilt 579 (May 2023). Interest = Opening * 5.99% / 12</t>
      </text>
    </comment>
    <comment ref="E292" authorId="0" shapeId="0">
      <text>
        <t>Loan: BMO, 1 Peterbilt 579 (May 2023). Principal = MIN(Opening, Payment - Interest)</t>
      </text>
    </comment>
    <comment ref="F292" authorId="0" shapeId="0">
      <text>
        <t>Loan: BMO, 1 Peterbilt 579 (May 2023). Closing = Opening - Principal</t>
      </text>
    </comment>
    <comment ref="C293" authorId="0" shapeId="0">
      <text>
        <t>Loan: BMO, 1 Peterbilt 579 (May 2023). Source: Meiborg_Debt_Schedule_202511.xlsx</t>
      </text>
    </comment>
    <comment ref="D293" authorId="0" shapeId="0">
      <text>
        <t>Loan: BMO, 1 Peterbilt 579 (May 2023). Interest = Opening * 5.99% / 12</t>
      </text>
    </comment>
    <comment ref="E293" authorId="0" shapeId="0">
      <text>
        <t>Loan: BMO, 1 Peterbilt 579 (May 2023). Principal = MIN(Opening, Payment - Interest)</t>
      </text>
    </comment>
    <comment ref="F293" authorId="0" shapeId="0">
      <text>
        <t>Loan: BMO, 1 Peterbilt 579 (May 2023). Closing = Opening - Principal</t>
      </text>
    </comment>
    <comment ref="C294" authorId="0" shapeId="0">
      <text>
        <t>Loan: BMO, 1 Peterbilt 579 (May 2023). Source: Meiborg_Debt_Schedule_202511.xlsx</t>
      </text>
    </comment>
    <comment ref="D294" authorId="0" shapeId="0">
      <text>
        <t>Loan: BMO, 1 Peterbilt 579 (May 2023). Interest = Opening * 5.99% / 12</t>
      </text>
    </comment>
    <comment ref="E294" authorId="0" shapeId="0">
      <text>
        <t>Loan: BMO, 1 Peterbilt 579 (May 2023). Principal = MIN(Opening, Payment - Interest)</t>
      </text>
    </comment>
    <comment ref="F294" authorId="0" shapeId="0">
      <text>
        <t>Loan: BMO, 1 Peterbilt 579 (May 2023). Closing = Opening - Principal</t>
      </text>
    </comment>
    <comment ref="C295" authorId="0" shapeId="0">
      <text>
        <t>Loan: BMO, 1 Peterbilt 579 (May 2023). Source: Meiborg_Debt_Schedule_202511.xlsx</t>
      </text>
    </comment>
    <comment ref="D295" authorId="0" shapeId="0">
      <text>
        <t>Loan: BMO, 1 Peterbilt 579 (May 2023). Interest = Opening * 5.99% / 12</t>
      </text>
    </comment>
    <comment ref="E295" authorId="0" shapeId="0">
      <text>
        <t>Loan: BMO, 1 Peterbilt 579 (May 2023). Principal = MIN(Opening, Payment - Interest)</t>
      </text>
    </comment>
    <comment ref="F295" authorId="0" shapeId="0">
      <text>
        <t>Loan: BMO, 1 Peterbilt 579 (May 2023). Closing = Opening - Principal</t>
      </text>
    </comment>
    <comment ref="C296" authorId="0" shapeId="0">
      <text>
        <t>Loan: BMO, 1 Peterbilt 579 (May 2023). Source: Meiborg_Debt_Schedule_202511.xlsx</t>
      </text>
    </comment>
    <comment ref="D296" authorId="0" shapeId="0">
      <text>
        <t>Loan: BMO, 1 Peterbilt 579 (May 2023). Interest = Opening * 5.99% / 12</t>
      </text>
    </comment>
    <comment ref="E296" authorId="0" shapeId="0">
      <text>
        <t>Loan: BMO, 1 Peterbilt 579 (May 2023). Principal = MIN(Opening, Payment - Interest)</t>
      </text>
    </comment>
    <comment ref="F296" authorId="0" shapeId="0">
      <text>
        <t>Loan: BMO, 1 Peterbilt 579 (May 2023). Closing = Opening - Principal</t>
      </text>
    </comment>
    <comment ref="C297" authorId="0" shapeId="0">
      <text>
        <t>Loan: BMO, 1 Peterbilt 579 (May 2023). Source: Meiborg_Debt_Schedule_202511.xlsx</t>
      </text>
    </comment>
    <comment ref="D297" authorId="0" shapeId="0">
      <text>
        <t>Loan: BMO, 1 Peterbilt 579 (May 2023). Interest = Opening * 5.99% / 12</t>
      </text>
    </comment>
    <comment ref="E297" authorId="0" shapeId="0">
      <text>
        <t>Loan: BMO, 1 Peterbilt 579 (May 2023). Principal = MIN(Opening, Payment - Interest)</t>
      </text>
    </comment>
    <comment ref="F297" authorId="0" shapeId="0">
      <text>
        <t>Loan: BMO, 1 Peterbilt 579 (May 2023). Closing = Opening - Principal</t>
      </text>
    </comment>
    <comment ref="C298" authorId="0" shapeId="0">
      <text>
        <t>Loan: BMO, 1 Peterbilt 579 (May 2023). Source: Meiborg_Debt_Schedule_202511.xlsx</t>
      </text>
    </comment>
    <comment ref="D298" authorId="0" shapeId="0">
      <text>
        <t>Loan: BMO, 1 Peterbilt 579 (May 2023). Interest = Opening * 5.99% / 12</t>
      </text>
    </comment>
    <comment ref="E298" authorId="0" shapeId="0">
      <text>
        <t>Loan: BMO, 1 Peterbilt 579 (May 2023). Principal = MIN(Opening, Payment - Interest)</t>
      </text>
    </comment>
    <comment ref="F298" authorId="0" shapeId="0">
      <text>
        <t>Loan: BMO, 1 Peterbilt 579 (May 2023). Closing = Opening - Principal</t>
      </text>
    </comment>
    <comment ref="C299" authorId="0" shapeId="0">
      <text>
        <t>Loan: BMO, 1 Peterbilt 579 (May 2023). Source: Meiborg_Debt_Schedule_202511.xlsx</t>
      </text>
    </comment>
    <comment ref="D299" authorId="0" shapeId="0">
      <text>
        <t>Loan: BMO, 1 Peterbilt 579 (May 2023). Interest = Opening * 5.99% / 12</t>
      </text>
    </comment>
    <comment ref="E299" authorId="0" shapeId="0">
      <text>
        <t>Loan: BMO, 1 Peterbilt 579 (May 2023). Principal = MIN(Opening, Payment - Interest)</t>
      </text>
    </comment>
    <comment ref="F299" authorId="0" shapeId="0">
      <text>
        <t>Loan: BMO, 1 Peterbilt 579 (May 2023). Closing = Opening - Principal</t>
      </text>
    </comment>
    <comment ref="C300" authorId="0" shapeId="0">
      <text>
        <t>Loan: BMO, 1 Peterbilt 579 (May 2023). Source: Meiborg_Debt_Schedule_202511.xlsx</t>
      </text>
    </comment>
    <comment ref="D300" authorId="0" shapeId="0">
      <text>
        <t>Loan: BMO, 1 Peterbilt 579 (May 2023). Interest = Opening * 5.99% / 12</t>
      </text>
    </comment>
    <comment ref="E300" authorId="0" shapeId="0">
      <text>
        <t>Loan: BMO, 1 Peterbilt 579 (May 2023). Principal = MIN(Opening, Payment - Interest)</t>
      </text>
    </comment>
    <comment ref="F300" authorId="0" shapeId="0">
      <text>
        <t>Loan: BMO, 1 Peterbilt 579 (May 2023). Closing = Opening - Principal</t>
      </text>
    </comment>
    <comment ref="C301" authorId="0" shapeId="0">
      <text>
        <t>Loan: BMO, 1 Peterbilt 579 (May 2023). Source: Meiborg_Debt_Schedule_202511.xlsx</t>
      </text>
    </comment>
    <comment ref="D301" authorId="0" shapeId="0">
      <text>
        <t>Loan: BMO, 1 Peterbilt 579 (May 2023). Interest = Opening * 5.99% / 12</t>
      </text>
    </comment>
    <comment ref="E301" authorId="0" shapeId="0">
      <text>
        <t>Loan: BMO, 1 Peterbilt 579 (May 2023). Principal = MIN(Opening, Payment - Interest)</t>
      </text>
    </comment>
    <comment ref="F301" authorId="0" shapeId="0">
      <text>
        <t>Loan: BMO, 1 Peterbilt 579 (May 2023). Closing = Opening - Principal</t>
      </text>
    </comment>
    <comment ref="C302" authorId="0" shapeId="0">
      <text>
        <t>Loan: BMO, 1 Peterbilt 579 (May 2023). Source: Meiborg_Debt_Schedule_202511.xlsx</t>
      </text>
    </comment>
    <comment ref="D302" authorId="0" shapeId="0">
      <text>
        <t>Loan: BMO, 1 Peterbilt 579 (May 2023). Interest = Opening * 5.99% / 12</t>
      </text>
    </comment>
    <comment ref="E302" authorId="0" shapeId="0">
      <text>
        <t>Loan: BMO, 1 Peterbilt 579 (May 2023). Principal = MIN(Opening, Payment - Interest)</t>
      </text>
    </comment>
    <comment ref="F302" authorId="0" shapeId="0">
      <text>
        <t>Loan: BMO, 1 Peterbilt 579 (May 2023). Closing = Opening - Principal</t>
      </text>
    </comment>
    <comment ref="C303" authorId="0" shapeId="0">
      <text>
        <t>Loan: BMO, 1 Peterbilt 579 (May 2023). Source: Meiborg_Debt_Schedule_202511.xlsx</t>
      </text>
    </comment>
    <comment ref="D303" authorId="0" shapeId="0">
      <text>
        <t>Loan: BMO, 1 Peterbilt 579 (May 2023). Interest = Opening * 5.99% / 12</t>
      </text>
    </comment>
    <comment ref="E303" authorId="0" shapeId="0">
      <text>
        <t>Loan: BMO, 1 Peterbilt 579 (May 2023). Principal = MIN(Opening, Payment - Interest)</t>
      </text>
    </comment>
    <comment ref="F303" authorId="0" shapeId="0">
      <text>
        <t>Loan: BMO, 1 Peterbilt 579 (May 2023). Closing = Opening - Principal</t>
      </text>
    </comment>
    <comment ref="C304" authorId="0" shapeId="0">
      <text>
        <t>Loan: BMO, 1 Peterbilt 579 (May 2023). Source: Meiborg_Debt_Schedule_202511.xlsx</t>
      </text>
    </comment>
    <comment ref="D304" authorId="0" shapeId="0">
      <text>
        <t>Loan: BMO, 1 Peterbilt 579 (May 2023). Interest = Opening * 5.99% / 12</t>
      </text>
    </comment>
    <comment ref="E304" authorId="0" shapeId="0">
      <text>
        <t>Loan: BMO, 1 Peterbilt 579 (May 2023). Principal = MIN(Opening, Payment - Interest)</t>
      </text>
    </comment>
    <comment ref="F304" authorId="0" shapeId="0">
      <text>
        <t>Loan: BMO, 1 Peterbilt 579 (May 2023). Closing = Opening - Principal</t>
      </text>
    </comment>
    <comment ref="C305" authorId="0" shapeId="0">
      <text>
        <t>Loan: BMO, 1 Peterbilt 579 (May 2023). Source: Meiborg_Debt_Schedule_202511.xlsx</t>
      </text>
    </comment>
    <comment ref="D305" authorId="0" shapeId="0">
      <text>
        <t>Loan: BMO, 1 Peterbilt 579 (May 2023). Interest = Opening * 5.99% / 12</t>
      </text>
    </comment>
    <comment ref="E305" authorId="0" shapeId="0">
      <text>
        <t>Loan: BMO, 1 Peterbilt 579 (May 2023). Principal = MIN(Opening, Payment - Interest)</t>
      </text>
    </comment>
    <comment ref="F305" authorId="0" shapeId="0">
      <text>
        <t>Loan: BMO, 1 Peterbilt 579 (May 2023). Closing = Opening - Principal</t>
      </text>
    </comment>
    <comment ref="C306" authorId="0" shapeId="0">
      <text>
        <t>Loan: BMO, 1 Peterbilt 579 (May 2023). Source: Meiborg_Debt_Schedule_202511.xlsx</t>
      </text>
    </comment>
    <comment ref="D306" authorId="0" shapeId="0">
      <text>
        <t>Loan: BMO, 1 Peterbilt 579 (May 2023). Interest = Opening * 5.99% / 12</t>
      </text>
    </comment>
    <comment ref="E306" authorId="0" shapeId="0">
      <text>
        <t>Loan: BMO, 1 Peterbilt 579 (May 2023). Principal = MIN(Opening, Payment - Interest)</t>
      </text>
    </comment>
    <comment ref="F306" authorId="0" shapeId="0">
      <text>
        <t>Loan: BMO, 1 Peterbilt 579 (May 2023). Closing = Opening - Principal</t>
      </text>
    </comment>
    <comment ref="C307" authorId="0" shapeId="0">
      <text>
        <t>Loan: BMO, 1 Peterbilt 579 (May 2023). Source: Meiborg_Debt_Schedule_202511.xlsx</t>
      </text>
    </comment>
    <comment ref="D307" authorId="0" shapeId="0">
      <text>
        <t>Loan: BMO, 1 Peterbilt 579 (May 2023). Interest = Opening * 5.99% / 12</t>
      </text>
    </comment>
    <comment ref="E307" authorId="0" shapeId="0">
      <text>
        <t>Loan: BMO, 1 Peterbilt 579 (May 2023). Principal = MIN(Opening, Payment - Interest)</t>
      </text>
    </comment>
    <comment ref="F307" authorId="0" shapeId="0">
      <text>
        <t>Loan: BMO, 1 Peterbilt 579 (May 2023). Closing = Opening - Principal</t>
      </text>
    </comment>
    <comment ref="C308" authorId="0" shapeId="0">
      <text>
        <t>Loan: BMO, 1 Peterbilt 579 (May 2023). Source: Meiborg_Debt_Schedule_202511.xlsx</t>
      </text>
    </comment>
    <comment ref="D308" authorId="0" shapeId="0">
      <text>
        <t>Loan: BMO, 1 Peterbilt 579 (May 2023). Interest = Opening * 5.99% / 12</t>
      </text>
    </comment>
    <comment ref="E308" authorId="0" shapeId="0">
      <text>
        <t>Loan: BMO, 1 Peterbilt 579 (May 2023). Principal = MIN(Opening, Payment - Interest)</t>
      </text>
    </comment>
    <comment ref="F308" authorId="0" shapeId="0">
      <text>
        <t>Loan: BMO, 1 Peterbilt 579 (May 2023). Closing = Opening - Principal</t>
      </text>
    </comment>
    <comment ref="C309" authorId="0" shapeId="0">
      <text>
        <t>Loan: BMO, 1 Peterbilt 579 (May 2023). Source: Meiborg_Debt_Schedule_202511.xlsx</t>
      </text>
    </comment>
    <comment ref="D309" authorId="0" shapeId="0">
      <text>
        <t>Loan: BMO, 1 Peterbilt 579 (May 2023). Interest = Opening * 5.99% / 12</t>
      </text>
    </comment>
    <comment ref="E309" authorId="0" shapeId="0">
      <text>
        <t>Loan: BMO, 1 Peterbilt 579 (May 2023). Principal = MIN(Opening, Payment - Interest)</t>
      </text>
    </comment>
    <comment ref="F309" authorId="0" shapeId="0">
      <text>
        <t>Loan: BMO, 1 Peterbilt 579 (May 2023). Closing = Opening - Principal</t>
      </text>
    </comment>
    <comment ref="C310" authorId="0" shapeId="0">
      <text>
        <t>Loan: BMO, 1 Peterbilt 579 (May 2023). Source: Meiborg_Debt_Schedule_202511.xlsx</t>
      </text>
    </comment>
    <comment ref="D310" authorId="0" shapeId="0">
      <text>
        <t>Loan: BMO, 1 Peterbilt 579 (May 2023). Interest = Opening * 5.99% / 12</t>
      </text>
    </comment>
    <comment ref="E310" authorId="0" shapeId="0">
      <text>
        <t>Loan: BMO, 1 Peterbilt 579 (May 2023). Principal = MIN(Opening, Payment - Interest)</t>
      </text>
    </comment>
    <comment ref="F310" authorId="0" shapeId="0">
      <text>
        <t>Loan: BMO, 1 Peterbilt 579 (May 2023). Closing = Opening - Principal</t>
      </text>
    </comment>
    <comment ref="C311" authorId="0" shapeId="0">
      <text>
        <t>Loan: BMO, 1 Peterbilt 579 (May 2023). Source: Meiborg_Debt_Schedule_202511.xlsx</t>
      </text>
    </comment>
    <comment ref="D311" authorId="0" shapeId="0">
      <text>
        <t>Loan: BMO, 1 Peterbilt 579 (May 2023). Interest = Opening * 5.99% / 12</t>
      </text>
    </comment>
    <comment ref="E311" authorId="0" shapeId="0">
      <text>
        <t>Loan: BMO, 1 Peterbilt 579 (May 2023). Principal = MIN(Opening, Payment - Interest)</t>
      </text>
    </comment>
    <comment ref="F311" authorId="0" shapeId="0">
      <text>
        <t>Loan: BMO, 1 Peterbilt 579 (May 2023). Closing = Opening - Principal</t>
      </text>
    </comment>
    <comment ref="C312" authorId="0" shapeId="0">
      <text>
        <t>Loan: BMO, 1 Peterbilt 579 (May 2023). Source: Meiborg_Debt_Schedule_202511.xlsx</t>
      </text>
    </comment>
    <comment ref="D312" authorId="0" shapeId="0">
      <text>
        <t>Loan: BMO, 1 Peterbilt 579 (May 2023). Interest = Opening * 5.99% / 12</t>
      </text>
    </comment>
    <comment ref="E312" authorId="0" shapeId="0">
      <text>
        <t>Loan: BMO, 1 Peterbilt 579 (May 2023). Principal = MIN(Opening, Payment - Interest)</t>
      </text>
    </comment>
    <comment ref="F312" authorId="0" shapeId="0">
      <text>
        <t>Loan: BMO, 1 Peterbilt 579 (May 2023). Closing = Opening - Principal</t>
      </text>
    </comment>
    <comment ref="C313" authorId="0" shapeId="0">
      <text>
        <t>Loan: BMO, 1 Peterbilt 579 (May 2023). Source: Meiborg_Debt_Schedule_202511.xlsx</t>
      </text>
    </comment>
    <comment ref="D313" authorId="0" shapeId="0">
      <text>
        <t>Loan: BMO, 1 Peterbilt 579 (May 2023). Interest = Opening * 5.99% / 12</t>
      </text>
    </comment>
    <comment ref="E313" authorId="0" shapeId="0">
      <text>
        <t>Loan: BMO, 1 Peterbilt 579 (May 2023). Principal = MIN(Opening, Payment - Interest)</t>
      </text>
    </comment>
    <comment ref="F313" authorId="0" shapeId="0">
      <text>
        <t>Loan: BMO, 1 Peterbilt 579 (May 2023). Closing = Opening - Principal</t>
      </text>
    </comment>
    <comment ref="D314" authorId="0" shapeId="0">
      <text>
        <t>Sum of rows 277-313: Total interest over remaining term</t>
      </text>
    </comment>
    <comment ref="E314" authorId="0" shapeId="0">
      <text>
        <t>Sum of rows 277-313: Total principal over remaining term</t>
      </text>
    </comment>
    <comment ref="B322" authorId="0" shapeId="0">
      <text>
        <t>Source: loans.md - BMO 3 Peterbilt 579 (June 2023)
Extracted: 2026-05-19</t>
      </text>
    </comment>
    <comment ref="B323" authorId="0" shapeId="0">
      <text>
        <t>Source: loans.md - BMO 3 Peterbilt 579 (June 2023)
Extracted: 2026-05-19</t>
      </text>
    </comment>
    <comment ref="B325" authorId="0" shapeId="0">
      <text>
        <t>Source: loans.md - BMO 3 Peterbilt 579 (June 2023)
Extracted: 2026-05-19</t>
      </text>
    </comment>
    <comment ref="C330" authorId="0" shapeId="0">
      <text>
        <t>Loan: BMO, 3 Peterbilt 579 (June 2023). Source: Meiborg_Debt_Schedule_202511.xlsx</t>
      </text>
    </comment>
    <comment ref="D330" authorId="0" shapeId="0">
      <text>
        <t>Loan: BMO, 3 Peterbilt 579 (June 2023). Interest = Opening * 6.39% / 12</t>
      </text>
    </comment>
    <comment ref="E330" authorId="0" shapeId="0">
      <text>
        <t>Loan: BMO, 3 Peterbilt 579 (June 2023). Principal = MIN(Opening, Payment - Interest)</t>
      </text>
    </comment>
    <comment ref="F330" authorId="0" shapeId="0">
      <text>
        <t>Loan: BMO, 3 Peterbilt 579 (June 2023). Closing = Opening - Principal</t>
      </text>
    </comment>
    <comment ref="C331" authorId="0" shapeId="0">
      <text>
        <t>Loan: BMO, 3 Peterbilt 579 (June 2023). Source: Meiborg_Debt_Schedule_202511.xlsx</t>
      </text>
    </comment>
    <comment ref="D331" authorId="0" shapeId="0">
      <text>
        <t>Loan: BMO, 3 Peterbilt 579 (June 2023). Interest = Opening * 6.39% / 12</t>
      </text>
    </comment>
    <comment ref="E331" authorId="0" shapeId="0">
      <text>
        <t>Loan: BMO, 3 Peterbilt 579 (June 2023). Principal = MIN(Opening, Payment - Interest)</t>
      </text>
    </comment>
    <comment ref="F331" authorId="0" shapeId="0">
      <text>
        <t>Loan: BMO, 3 Peterbilt 579 (June 2023). Closing = Opening - Principal</t>
      </text>
    </comment>
    <comment ref="C332" authorId="0" shapeId="0">
      <text>
        <t>Loan: BMO, 3 Peterbilt 579 (June 2023). Source: Meiborg_Debt_Schedule_202511.xlsx</t>
      </text>
    </comment>
    <comment ref="D332" authorId="0" shapeId="0">
      <text>
        <t>Loan: BMO, 3 Peterbilt 579 (June 2023). Interest = Opening * 6.39% / 12</t>
      </text>
    </comment>
    <comment ref="E332" authorId="0" shapeId="0">
      <text>
        <t>Loan: BMO, 3 Peterbilt 579 (June 2023). Principal = MIN(Opening, Payment - Interest)</t>
      </text>
    </comment>
    <comment ref="F332" authorId="0" shapeId="0">
      <text>
        <t>Loan: BMO, 3 Peterbilt 579 (June 2023). Closing = Opening - Principal</t>
      </text>
    </comment>
    <comment ref="C333" authorId="0" shapeId="0">
      <text>
        <t>Loan: BMO, 3 Peterbilt 579 (June 2023). Source: Meiborg_Debt_Schedule_202511.xlsx</t>
      </text>
    </comment>
    <comment ref="D333" authorId="0" shapeId="0">
      <text>
        <t>Loan: BMO, 3 Peterbilt 579 (June 2023). Interest = Opening * 6.39% / 12</t>
      </text>
    </comment>
    <comment ref="E333" authorId="0" shapeId="0">
      <text>
        <t>Loan: BMO, 3 Peterbilt 579 (June 2023). Principal = MIN(Opening, Payment - Interest)</t>
      </text>
    </comment>
    <comment ref="F333" authorId="0" shapeId="0">
      <text>
        <t>Loan: BMO, 3 Peterbilt 579 (June 2023). Closing = Opening - Principal</t>
      </text>
    </comment>
    <comment ref="C334" authorId="0" shapeId="0">
      <text>
        <t>Loan: BMO, 3 Peterbilt 579 (June 2023). Source: Meiborg_Debt_Schedule_202511.xlsx</t>
      </text>
    </comment>
    <comment ref="D334" authorId="0" shapeId="0">
      <text>
        <t>Loan: BMO, 3 Peterbilt 579 (June 2023). Interest = Opening * 6.39% / 12</t>
      </text>
    </comment>
    <comment ref="E334" authorId="0" shapeId="0">
      <text>
        <t>Loan: BMO, 3 Peterbilt 579 (June 2023). Principal = MIN(Opening, Payment - Interest)</t>
      </text>
    </comment>
    <comment ref="F334" authorId="0" shapeId="0">
      <text>
        <t>Loan: BMO, 3 Peterbilt 579 (June 2023). Closing = Opening - Principal</t>
      </text>
    </comment>
    <comment ref="C335" authorId="0" shapeId="0">
      <text>
        <t>Loan: BMO, 3 Peterbilt 579 (June 2023). Source: Meiborg_Debt_Schedule_202511.xlsx</t>
      </text>
    </comment>
    <comment ref="D335" authorId="0" shapeId="0">
      <text>
        <t>Loan: BMO, 3 Peterbilt 579 (June 2023). Interest = Opening * 6.39% / 12</t>
      </text>
    </comment>
    <comment ref="E335" authorId="0" shapeId="0">
      <text>
        <t>Loan: BMO, 3 Peterbilt 579 (June 2023). Principal = MIN(Opening, Payment - Interest)</t>
      </text>
    </comment>
    <comment ref="F335" authorId="0" shapeId="0">
      <text>
        <t>Loan: BMO, 3 Peterbilt 579 (June 2023). Closing = Opening - Principal</t>
      </text>
    </comment>
    <comment ref="C336" authorId="0" shapeId="0">
      <text>
        <t>Loan: BMO, 3 Peterbilt 579 (June 2023). Source: Meiborg_Debt_Schedule_202511.xlsx</t>
      </text>
    </comment>
    <comment ref="D336" authorId="0" shapeId="0">
      <text>
        <t>Loan: BMO, 3 Peterbilt 579 (June 2023). Interest = Opening * 6.39% / 12</t>
      </text>
    </comment>
    <comment ref="E336" authorId="0" shapeId="0">
      <text>
        <t>Loan: BMO, 3 Peterbilt 579 (June 2023). Principal = MIN(Opening, Payment - Interest)</t>
      </text>
    </comment>
    <comment ref="F336" authorId="0" shapeId="0">
      <text>
        <t>Loan: BMO, 3 Peterbilt 579 (June 2023). Closing = Opening - Principal</t>
      </text>
    </comment>
    <comment ref="C337" authorId="0" shapeId="0">
      <text>
        <t>Loan: BMO, 3 Peterbilt 579 (June 2023). Source: Meiborg_Debt_Schedule_202511.xlsx</t>
      </text>
    </comment>
    <comment ref="D337" authorId="0" shapeId="0">
      <text>
        <t>Loan: BMO, 3 Peterbilt 579 (June 2023). Interest = Opening * 6.39% / 12</t>
      </text>
    </comment>
    <comment ref="E337" authorId="0" shapeId="0">
      <text>
        <t>Loan: BMO, 3 Peterbilt 579 (June 2023). Principal = MIN(Opening, Payment - Interest)</t>
      </text>
    </comment>
    <comment ref="F337" authorId="0" shapeId="0">
      <text>
        <t>Loan: BMO, 3 Peterbilt 579 (June 2023). Closing = Opening - Principal</t>
      </text>
    </comment>
    <comment ref="C338" authorId="0" shapeId="0">
      <text>
        <t>Loan: BMO, 3 Peterbilt 579 (June 2023). Source: Meiborg_Debt_Schedule_202511.xlsx</t>
      </text>
    </comment>
    <comment ref="D338" authorId="0" shapeId="0">
      <text>
        <t>Loan: BMO, 3 Peterbilt 579 (June 2023). Interest = Opening * 6.39% / 12</t>
      </text>
    </comment>
    <comment ref="E338" authorId="0" shapeId="0">
      <text>
        <t>Loan: BMO, 3 Peterbilt 579 (June 2023). Principal = MIN(Opening, Payment - Interest)</t>
      </text>
    </comment>
    <comment ref="F338" authorId="0" shapeId="0">
      <text>
        <t>Loan: BMO, 3 Peterbilt 579 (June 2023). Closing = Opening - Principal</t>
      </text>
    </comment>
    <comment ref="C339" authorId="0" shapeId="0">
      <text>
        <t>Loan: BMO, 3 Peterbilt 579 (June 2023). Source: Meiborg_Debt_Schedule_202511.xlsx</t>
      </text>
    </comment>
    <comment ref="D339" authorId="0" shapeId="0">
      <text>
        <t>Loan: BMO, 3 Peterbilt 579 (June 2023). Interest = Opening * 6.39% / 12</t>
      </text>
    </comment>
    <comment ref="E339" authorId="0" shapeId="0">
      <text>
        <t>Loan: BMO, 3 Peterbilt 579 (June 2023). Principal = MIN(Opening, Payment - Interest)</t>
      </text>
    </comment>
    <comment ref="F339" authorId="0" shapeId="0">
      <text>
        <t>Loan: BMO, 3 Peterbilt 579 (June 2023). Closing = Opening - Principal</t>
      </text>
    </comment>
    <comment ref="C340" authorId="0" shapeId="0">
      <text>
        <t>Loan: BMO, 3 Peterbilt 579 (June 2023). Source: Meiborg_Debt_Schedule_202511.xlsx</t>
      </text>
    </comment>
    <comment ref="D340" authorId="0" shapeId="0">
      <text>
        <t>Loan: BMO, 3 Peterbilt 579 (June 2023). Interest = Opening * 6.39% / 12</t>
      </text>
    </comment>
    <comment ref="E340" authorId="0" shapeId="0">
      <text>
        <t>Loan: BMO, 3 Peterbilt 579 (June 2023). Principal = MIN(Opening, Payment - Interest)</t>
      </text>
    </comment>
    <comment ref="F340" authorId="0" shapeId="0">
      <text>
        <t>Loan: BMO, 3 Peterbilt 579 (June 2023). Closing = Opening - Principal</t>
      </text>
    </comment>
    <comment ref="C341" authorId="0" shapeId="0">
      <text>
        <t>Loan: BMO, 3 Peterbilt 579 (June 2023). Source: Meiborg_Debt_Schedule_202511.xlsx</t>
      </text>
    </comment>
    <comment ref="D341" authorId="0" shapeId="0">
      <text>
        <t>Loan: BMO, 3 Peterbilt 579 (June 2023). Interest = Opening * 6.39% / 12</t>
      </text>
    </comment>
    <comment ref="E341" authorId="0" shapeId="0">
      <text>
        <t>Loan: BMO, 3 Peterbilt 579 (June 2023). Principal = MIN(Opening, Payment - Interest)</t>
      </text>
    </comment>
    <comment ref="F341" authorId="0" shapeId="0">
      <text>
        <t>Loan: BMO, 3 Peterbilt 579 (June 2023). Closing = Opening - Principal</t>
      </text>
    </comment>
    <comment ref="C342" authorId="0" shapeId="0">
      <text>
        <t>Loan: BMO, 3 Peterbilt 579 (June 2023). Source: Meiborg_Debt_Schedule_202511.xlsx</t>
      </text>
    </comment>
    <comment ref="D342" authorId="0" shapeId="0">
      <text>
        <t>Loan: BMO, 3 Peterbilt 579 (June 2023). Interest = Opening * 6.39% / 12</t>
      </text>
    </comment>
    <comment ref="E342" authorId="0" shapeId="0">
      <text>
        <t>Loan: BMO, 3 Peterbilt 579 (June 2023). Principal = MIN(Opening, Payment - Interest)</t>
      </text>
    </comment>
    <comment ref="F342" authorId="0" shapeId="0">
      <text>
        <t>Loan: BMO, 3 Peterbilt 579 (June 2023). Closing = Opening - Principal</t>
      </text>
    </comment>
    <comment ref="C343" authorId="0" shapeId="0">
      <text>
        <t>Loan: BMO, 3 Peterbilt 579 (June 2023). Source: Meiborg_Debt_Schedule_202511.xlsx</t>
      </text>
    </comment>
    <comment ref="D343" authorId="0" shapeId="0">
      <text>
        <t>Loan: BMO, 3 Peterbilt 579 (June 2023). Interest = Opening * 6.39% / 12</t>
      </text>
    </comment>
    <comment ref="E343" authorId="0" shapeId="0">
      <text>
        <t>Loan: BMO, 3 Peterbilt 579 (June 2023). Principal = MIN(Opening, Payment - Interest)</t>
      </text>
    </comment>
    <comment ref="F343" authorId="0" shapeId="0">
      <text>
        <t>Loan: BMO, 3 Peterbilt 579 (June 2023). Closing = Opening - Principal</t>
      </text>
    </comment>
    <comment ref="C344" authorId="0" shapeId="0">
      <text>
        <t>Loan: BMO, 3 Peterbilt 579 (June 2023). Source: Meiborg_Debt_Schedule_202511.xlsx</t>
      </text>
    </comment>
    <comment ref="D344" authorId="0" shapeId="0">
      <text>
        <t>Loan: BMO, 3 Peterbilt 579 (June 2023). Interest = Opening * 6.39% / 12</t>
      </text>
    </comment>
    <comment ref="E344" authorId="0" shapeId="0">
      <text>
        <t>Loan: BMO, 3 Peterbilt 579 (June 2023). Principal = MIN(Opening, Payment - Interest)</t>
      </text>
    </comment>
    <comment ref="F344" authorId="0" shapeId="0">
      <text>
        <t>Loan: BMO, 3 Peterbilt 579 (June 2023). Closing = Opening - Principal</t>
      </text>
    </comment>
    <comment ref="C345" authorId="0" shapeId="0">
      <text>
        <t>Loan: BMO, 3 Peterbilt 579 (June 2023). Source: Meiborg_Debt_Schedule_202511.xlsx</t>
      </text>
    </comment>
    <comment ref="D345" authorId="0" shapeId="0">
      <text>
        <t>Loan: BMO, 3 Peterbilt 579 (June 2023). Interest = Opening * 6.39% / 12</t>
      </text>
    </comment>
    <comment ref="E345" authorId="0" shapeId="0">
      <text>
        <t>Loan: BMO, 3 Peterbilt 579 (June 2023). Principal = MIN(Opening, Payment - Interest)</t>
      </text>
    </comment>
    <comment ref="F345" authorId="0" shapeId="0">
      <text>
        <t>Loan: BMO, 3 Peterbilt 579 (June 2023). Closing = Opening - Principal</t>
      </text>
    </comment>
    <comment ref="C346" authorId="0" shapeId="0">
      <text>
        <t>Loan: BMO, 3 Peterbilt 579 (June 2023). Source: Meiborg_Debt_Schedule_202511.xlsx</t>
      </text>
    </comment>
    <comment ref="D346" authorId="0" shapeId="0">
      <text>
        <t>Loan: BMO, 3 Peterbilt 579 (June 2023). Interest = Opening * 6.39% / 12</t>
      </text>
    </comment>
    <comment ref="E346" authorId="0" shapeId="0">
      <text>
        <t>Loan: BMO, 3 Peterbilt 579 (June 2023). Principal = MIN(Opening, Payment - Interest)</t>
      </text>
    </comment>
    <comment ref="F346" authorId="0" shapeId="0">
      <text>
        <t>Loan: BMO, 3 Peterbilt 579 (June 2023). Closing = Opening - Principal</t>
      </text>
    </comment>
    <comment ref="C347" authorId="0" shapeId="0">
      <text>
        <t>Loan: BMO, 3 Peterbilt 579 (June 2023). Source: Meiborg_Debt_Schedule_202511.xlsx</t>
      </text>
    </comment>
    <comment ref="D347" authorId="0" shapeId="0">
      <text>
        <t>Loan: BMO, 3 Peterbilt 579 (June 2023). Interest = Opening * 6.39% / 12</t>
      </text>
    </comment>
    <comment ref="E347" authorId="0" shapeId="0">
      <text>
        <t>Loan: BMO, 3 Peterbilt 579 (June 2023). Principal = MIN(Opening, Payment - Interest)</t>
      </text>
    </comment>
    <comment ref="F347" authorId="0" shapeId="0">
      <text>
        <t>Loan: BMO, 3 Peterbilt 579 (June 2023). Closing = Opening - Principal</t>
      </text>
    </comment>
    <comment ref="C348" authorId="0" shapeId="0">
      <text>
        <t>Loan: BMO, 3 Peterbilt 579 (June 2023). Source: Meiborg_Debt_Schedule_202511.xlsx</t>
      </text>
    </comment>
    <comment ref="D348" authorId="0" shapeId="0">
      <text>
        <t>Loan: BMO, 3 Peterbilt 579 (June 2023). Interest = Opening * 6.39% / 12</t>
      </text>
    </comment>
    <comment ref="E348" authorId="0" shapeId="0">
      <text>
        <t>Loan: BMO, 3 Peterbilt 579 (June 2023). Principal = MIN(Opening, Payment - Interest)</t>
      </text>
    </comment>
    <comment ref="F348" authorId="0" shapeId="0">
      <text>
        <t>Loan: BMO, 3 Peterbilt 579 (June 2023). Closing = Opening - Principal</t>
      </text>
    </comment>
    <comment ref="C349" authorId="0" shapeId="0">
      <text>
        <t>Loan: BMO, 3 Peterbilt 579 (June 2023). Source: Meiborg_Debt_Schedule_202511.xlsx</t>
      </text>
    </comment>
    <comment ref="D349" authorId="0" shapeId="0">
      <text>
        <t>Loan: BMO, 3 Peterbilt 579 (June 2023). Interest = Opening * 6.39% / 12</t>
      </text>
    </comment>
    <comment ref="E349" authorId="0" shapeId="0">
      <text>
        <t>Loan: BMO, 3 Peterbilt 579 (June 2023). Principal = MIN(Opening, Payment - Interest)</t>
      </text>
    </comment>
    <comment ref="F349" authorId="0" shapeId="0">
      <text>
        <t>Loan: BMO, 3 Peterbilt 579 (June 2023). Closing = Opening - Principal</t>
      </text>
    </comment>
    <comment ref="C350" authorId="0" shapeId="0">
      <text>
        <t>Loan: BMO, 3 Peterbilt 579 (June 2023). Source: Meiborg_Debt_Schedule_202511.xlsx</t>
      </text>
    </comment>
    <comment ref="D350" authorId="0" shapeId="0">
      <text>
        <t>Loan: BMO, 3 Peterbilt 579 (June 2023). Interest = Opening * 6.39% / 12</t>
      </text>
    </comment>
    <comment ref="E350" authorId="0" shapeId="0">
      <text>
        <t>Loan: BMO, 3 Peterbilt 579 (June 2023). Principal = MIN(Opening, Payment - Interest)</t>
      </text>
    </comment>
    <comment ref="F350" authorId="0" shapeId="0">
      <text>
        <t>Loan: BMO, 3 Peterbilt 579 (June 2023). Closing = Opening - Principal</t>
      </text>
    </comment>
    <comment ref="C351" authorId="0" shapeId="0">
      <text>
        <t>Loan: BMO, 3 Peterbilt 579 (June 2023). Source: Meiborg_Debt_Schedule_202511.xlsx</t>
      </text>
    </comment>
    <comment ref="D351" authorId="0" shapeId="0">
      <text>
        <t>Loan: BMO, 3 Peterbilt 579 (June 2023). Interest = Opening * 6.39% / 12</t>
      </text>
    </comment>
    <comment ref="E351" authorId="0" shapeId="0">
      <text>
        <t>Loan: BMO, 3 Peterbilt 579 (June 2023). Principal = MIN(Opening, Payment - Interest)</t>
      </text>
    </comment>
    <comment ref="F351" authorId="0" shapeId="0">
      <text>
        <t>Loan: BMO, 3 Peterbilt 579 (June 2023). Closing = Opening - Principal</t>
      </text>
    </comment>
    <comment ref="C352" authorId="0" shapeId="0">
      <text>
        <t>Loan: BMO, 3 Peterbilt 579 (June 2023). Source: Meiborg_Debt_Schedule_202511.xlsx</t>
      </text>
    </comment>
    <comment ref="D352" authorId="0" shapeId="0">
      <text>
        <t>Loan: BMO, 3 Peterbilt 579 (June 2023). Interest = Opening * 6.39% / 12</t>
      </text>
    </comment>
    <comment ref="E352" authorId="0" shapeId="0">
      <text>
        <t>Loan: BMO, 3 Peterbilt 579 (June 2023). Principal = MIN(Opening, Payment - Interest)</t>
      </text>
    </comment>
    <comment ref="F352" authorId="0" shapeId="0">
      <text>
        <t>Loan: BMO, 3 Peterbilt 579 (June 2023). Closing = Opening - Principal</t>
      </text>
    </comment>
    <comment ref="C353" authorId="0" shapeId="0">
      <text>
        <t>Loan: BMO, 3 Peterbilt 579 (June 2023). Source: Meiborg_Debt_Schedule_202511.xlsx</t>
      </text>
    </comment>
    <comment ref="D353" authorId="0" shapeId="0">
      <text>
        <t>Loan: BMO, 3 Peterbilt 579 (June 2023). Interest = Opening * 6.39% / 12</t>
      </text>
    </comment>
    <comment ref="E353" authorId="0" shapeId="0">
      <text>
        <t>Loan: BMO, 3 Peterbilt 579 (June 2023). Principal = MIN(Opening, Payment - Interest)</t>
      </text>
    </comment>
    <comment ref="F353" authorId="0" shapeId="0">
      <text>
        <t>Loan: BMO, 3 Peterbilt 579 (June 2023). Closing = Opening - Principal</t>
      </text>
    </comment>
    <comment ref="C354" authorId="0" shapeId="0">
      <text>
        <t>Loan: BMO, 3 Peterbilt 579 (June 2023). Source: Meiborg_Debt_Schedule_202511.xlsx</t>
      </text>
    </comment>
    <comment ref="D354" authorId="0" shapeId="0">
      <text>
        <t>Loan: BMO, 3 Peterbilt 579 (June 2023). Interest = Opening * 6.39% / 12</t>
      </text>
    </comment>
    <comment ref="E354" authorId="0" shapeId="0">
      <text>
        <t>Loan: BMO, 3 Peterbilt 579 (June 2023). Principal = MIN(Opening, Payment - Interest)</t>
      </text>
    </comment>
    <comment ref="F354" authorId="0" shapeId="0">
      <text>
        <t>Loan: BMO, 3 Peterbilt 579 (June 2023). Closing = Opening - Principal</t>
      </text>
    </comment>
    <comment ref="C355" authorId="0" shapeId="0">
      <text>
        <t>Loan: BMO, 3 Peterbilt 579 (June 2023). Source: Meiborg_Debt_Schedule_202511.xlsx</t>
      </text>
    </comment>
    <comment ref="D355" authorId="0" shapeId="0">
      <text>
        <t>Loan: BMO, 3 Peterbilt 579 (June 2023). Interest = Opening * 6.39% / 12</t>
      </text>
    </comment>
    <comment ref="E355" authorId="0" shapeId="0">
      <text>
        <t>Loan: BMO, 3 Peterbilt 579 (June 2023). Principal = MIN(Opening, Payment - Interest)</t>
      </text>
    </comment>
    <comment ref="F355" authorId="0" shapeId="0">
      <text>
        <t>Loan: BMO, 3 Peterbilt 579 (June 2023). Closing = Opening - Principal</t>
      </text>
    </comment>
    <comment ref="C356" authorId="0" shapeId="0">
      <text>
        <t>Loan: BMO, 3 Peterbilt 579 (June 2023). Source: Meiborg_Debt_Schedule_202511.xlsx</t>
      </text>
    </comment>
    <comment ref="D356" authorId="0" shapeId="0">
      <text>
        <t>Loan: BMO, 3 Peterbilt 579 (June 2023). Interest = Opening * 6.39% / 12</t>
      </text>
    </comment>
    <comment ref="E356" authorId="0" shapeId="0">
      <text>
        <t>Loan: BMO, 3 Peterbilt 579 (June 2023). Principal = MIN(Opening, Payment - Interest)</t>
      </text>
    </comment>
    <comment ref="F356" authorId="0" shapeId="0">
      <text>
        <t>Loan: BMO, 3 Peterbilt 579 (June 2023). Closing = Opening - Principal</t>
      </text>
    </comment>
    <comment ref="C357" authorId="0" shapeId="0">
      <text>
        <t>Loan: BMO, 3 Peterbilt 579 (June 2023). Source: Meiborg_Debt_Schedule_202511.xlsx</t>
      </text>
    </comment>
    <comment ref="D357" authorId="0" shapeId="0">
      <text>
        <t>Loan: BMO, 3 Peterbilt 579 (June 2023). Interest = Opening * 6.39% / 12</t>
      </text>
    </comment>
    <comment ref="E357" authorId="0" shapeId="0">
      <text>
        <t>Loan: BMO, 3 Peterbilt 579 (June 2023). Principal = MIN(Opening, Payment - Interest)</t>
      </text>
    </comment>
    <comment ref="F357" authorId="0" shapeId="0">
      <text>
        <t>Loan: BMO, 3 Peterbilt 579 (June 2023). Closing = Opening - Principal</t>
      </text>
    </comment>
    <comment ref="C358" authorId="0" shapeId="0">
      <text>
        <t>Loan: BMO, 3 Peterbilt 579 (June 2023). Source: Meiborg_Debt_Schedule_202511.xlsx</t>
      </text>
    </comment>
    <comment ref="D358" authorId="0" shapeId="0">
      <text>
        <t>Loan: BMO, 3 Peterbilt 579 (June 2023). Interest = Opening * 6.39% / 12</t>
      </text>
    </comment>
    <comment ref="E358" authorId="0" shapeId="0">
      <text>
        <t>Loan: BMO, 3 Peterbilt 579 (June 2023). Principal = MIN(Opening, Payment - Interest)</t>
      </text>
    </comment>
    <comment ref="F358" authorId="0" shapeId="0">
      <text>
        <t>Loan: BMO, 3 Peterbilt 579 (June 2023). Closing = Opening - Principal</t>
      </text>
    </comment>
    <comment ref="C359" authorId="0" shapeId="0">
      <text>
        <t>Loan: BMO, 3 Peterbilt 579 (June 2023). Source: Meiborg_Debt_Schedule_202511.xlsx</t>
      </text>
    </comment>
    <comment ref="D359" authorId="0" shapeId="0">
      <text>
        <t>Loan: BMO, 3 Peterbilt 579 (June 2023). Interest = Opening * 6.39% / 12</t>
      </text>
    </comment>
    <comment ref="E359" authorId="0" shapeId="0">
      <text>
        <t>Loan: BMO, 3 Peterbilt 579 (June 2023). Principal = MIN(Opening, Payment - Interest)</t>
      </text>
    </comment>
    <comment ref="F359" authorId="0" shapeId="0">
      <text>
        <t>Loan: BMO, 3 Peterbilt 579 (June 2023). Closing = Opening - Principal</t>
      </text>
    </comment>
    <comment ref="C360" authorId="0" shapeId="0">
      <text>
        <t>Loan: BMO, 3 Peterbilt 579 (June 2023). Source: Meiborg_Debt_Schedule_202511.xlsx</t>
      </text>
    </comment>
    <comment ref="D360" authorId="0" shapeId="0">
      <text>
        <t>Loan: BMO, 3 Peterbilt 579 (June 2023). Interest = Opening * 6.39% / 12</t>
      </text>
    </comment>
    <comment ref="E360" authorId="0" shapeId="0">
      <text>
        <t>Loan: BMO, 3 Peterbilt 579 (June 2023). Principal = MIN(Opening, Payment - Interest)</t>
      </text>
    </comment>
    <comment ref="F360" authorId="0" shapeId="0">
      <text>
        <t>Loan: BMO, 3 Peterbilt 579 (June 2023). Closing = Opening - Principal</t>
      </text>
    </comment>
    <comment ref="C361" authorId="0" shapeId="0">
      <text>
        <t>Loan: BMO, 3 Peterbilt 579 (June 2023). Source: Meiborg_Debt_Schedule_202511.xlsx</t>
      </text>
    </comment>
    <comment ref="D361" authorId="0" shapeId="0">
      <text>
        <t>Loan: BMO, 3 Peterbilt 579 (June 2023). Interest = Opening * 6.39% / 12</t>
      </text>
    </comment>
    <comment ref="E361" authorId="0" shapeId="0">
      <text>
        <t>Loan: BMO, 3 Peterbilt 579 (June 2023). Principal = MIN(Opening, Payment - Interest)</t>
      </text>
    </comment>
    <comment ref="F361" authorId="0" shapeId="0">
      <text>
        <t>Loan: BMO, 3 Peterbilt 579 (June 2023). Closing = Opening - Principal</t>
      </text>
    </comment>
    <comment ref="C362" authorId="0" shapeId="0">
      <text>
        <t>Loan: BMO, 3 Peterbilt 579 (June 2023). Source: Meiborg_Debt_Schedule_202511.xlsx</t>
      </text>
    </comment>
    <comment ref="D362" authorId="0" shapeId="0">
      <text>
        <t>Loan: BMO, 3 Peterbilt 579 (June 2023). Interest = Opening * 6.39% / 12</t>
      </text>
    </comment>
    <comment ref="E362" authorId="0" shapeId="0">
      <text>
        <t>Loan: BMO, 3 Peterbilt 579 (June 2023). Principal = MIN(Opening, Payment - Interest)</t>
      </text>
    </comment>
    <comment ref="F362" authorId="0" shapeId="0">
      <text>
        <t>Loan: BMO, 3 Peterbilt 579 (June 2023). Closing = Opening - Principal</t>
      </text>
    </comment>
    <comment ref="C363" authorId="0" shapeId="0">
      <text>
        <t>Loan: BMO, 3 Peterbilt 579 (June 2023). Source: Meiborg_Debt_Schedule_202511.xlsx</t>
      </text>
    </comment>
    <comment ref="D363" authorId="0" shapeId="0">
      <text>
        <t>Loan: BMO, 3 Peterbilt 579 (June 2023). Interest = Opening * 6.39% / 12</t>
      </text>
    </comment>
    <comment ref="E363" authorId="0" shapeId="0">
      <text>
        <t>Loan: BMO, 3 Peterbilt 579 (June 2023). Principal = MIN(Opening, Payment - Interest)</t>
      </text>
    </comment>
    <comment ref="F363" authorId="0" shapeId="0">
      <text>
        <t>Loan: BMO, 3 Peterbilt 579 (June 2023). Closing = Opening - Principal</t>
      </text>
    </comment>
    <comment ref="C364" authorId="0" shapeId="0">
      <text>
        <t>Loan: BMO, 3 Peterbilt 579 (June 2023). Source: Meiborg_Debt_Schedule_202511.xlsx</t>
      </text>
    </comment>
    <comment ref="D364" authorId="0" shapeId="0">
      <text>
        <t>Loan: BMO, 3 Peterbilt 579 (June 2023). Interest = Opening * 6.39% / 12</t>
      </text>
    </comment>
    <comment ref="E364" authorId="0" shapeId="0">
      <text>
        <t>Loan: BMO, 3 Peterbilt 579 (June 2023). Principal = MIN(Opening, Payment - Interest)</t>
      </text>
    </comment>
    <comment ref="F364" authorId="0" shapeId="0">
      <text>
        <t>Loan: BMO, 3 Peterbilt 579 (June 2023). Closing = Opening - Principal</t>
      </text>
    </comment>
    <comment ref="C365" authorId="0" shapeId="0">
      <text>
        <t>Loan: BMO, 3 Peterbilt 579 (June 2023). Source: Meiborg_Debt_Schedule_202511.xlsx</t>
      </text>
    </comment>
    <comment ref="D365" authorId="0" shapeId="0">
      <text>
        <t>Loan: BMO, 3 Peterbilt 579 (June 2023). Interest = Opening * 6.39% / 12</t>
      </text>
    </comment>
    <comment ref="E365" authorId="0" shapeId="0">
      <text>
        <t>Loan: BMO, 3 Peterbilt 579 (June 2023). Principal = MIN(Opening, Payment - Interest)</t>
      </text>
    </comment>
    <comment ref="F365" authorId="0" shapeId="0">
      <text>
        <t>Loan: BMO, 3 Peterbilt 579 (June 2023). Closing = Opening - Principal</t>
      </text>
    </comment>
    <comment ref="C366" authorId="0" shapeId="0">
      <text>
        <t>Loan: BMO, 3 Peterbilt 579 (June 2023). Source: Meiborg_Debt_Schedule_202511.xlsx</t>
      </text>
    </comment>
    <comment ref="D366" authorId="0" shapeId="0">
      <text>
        <t>Loan: BMO, 3 Peterbilt 579 (June 2023). Interest = Opening * 6.39% / 12</t>
      </text>
    </comment>
    <comment ref="E366" authorId="0" shapeId="0">
      <text>
        <t>Loan: BMO, 3 Peterbilt 579 (June 2023). Principal = MIN(Opening, Payment - Interest)</t>
      </text>
    </comment>
    <comment ref="F366" authorId="0" shapeId="0">
      <text>
        <t>Loan: BMO, 3 Peterbilt 579 (June 2023). Closing = Opening - Principal</t>
      </text>
    </comment>
    <comment ref="C367" authorId="0" shapeId="0">
      <text>
        <t>Loan: BMO, 3 Peterbilt 579 (June 2023). Source: Meiborg_Debt_Schedule_202511.xlsx</t>
      </text>
    </comment>
    <comment ref="D367" authorId="0" shapeId="0">
      <text>
        <t>Loan: BMO, 3 Peterbilt 579 (June 2023). Interest = Opening * 6.39% / 12</t>
      </text>
    </comment>
    <comment ref="E367" authorId="0" shapeId="0">
      <text>
        <t>Loan: BMO, 3 Peterbilt 579 (June 2023). Principal = MIN(Opening, Payment - Interest)</t>
      </text>
    </comment>
    <comment ref="F367" authorId="0" shapeId="0">
      <text>
        <t>Loan: BMO, 3 Peterbilt 579 (June 2023). Closing = Opening - Principal</t>
      </text>
    </comment>
    <comment ref="D368" authorId="0" shapeId="0">
      <text>
        <t>Sum of rows 330-367: Total interest over remaining term</t>
      </text>
    </comment>
    <comment ref="E368" authorId="0" shapeId="0">
      <text>
        <t>Sum of rows 330-367: Total principal over remaining term</t>
      </text>
    </comment>
    <comment ref="B376" authorId="0" shapeId="0">
      <text>
        <t>Source: loans.md - BMO 1 Peterbilt 579 (July 2023)
Extracted: 2026-05-19</t>
      </text>
    </comment>
    <comment ref="B377" authorId="0" shapeId="0">
      <text>
        <t>Source: loans.md - BMO 1 Peterbilt 579 (July 2023)
Extracted: 2026-05-19</t>
      </text>
    </comment>
    <comment ref="B379" authorId="0" shapeId="0">
      <text>
        <t>Source: loans.md - BMO 1 Peterbilt 579 (July 2023)
Extracted: 2026-05-19</t>
      </text>
    </comment>
    <comment ref="C384" authorId="0" shapeId="0">
      <text>
        <t>Loan: BMO, 1 Peterbilt 579 (July 2023). Source: Meiborg_Debt_Schedule_202511.xlsx</t>
      </text>
    </comment>
    <comment ref="D384" authorId="0" shapeId="0">
      <text>
        <t>Loan: BMO, 1 Peterbilt 579 (July 2023). Interest = Opening * 6.68% / 12</t>
      </text>
    </comment>
    <comment ref="E384" authorId="0" shapeId="0">
      <text>
        <t>Loan: BMO, 1 Peterbilt 579 (July 2023). Principal = MIN(Opening, Payment - Interest)</t>
      </text>
    </comment>
    <comment ref="F384" authorId="0" shapeId="0">
      <text>
        <t>Loan: BMO, 1 Peterbilt 579 (July 2023). Closing = Opening - Principal</t>
      </text>
    </comment>
    <comment ref="C385" authorId="0" shapeId="0">
      <text>
        <t>Loan: BMO, 1 Peterbilt 579 (July 2023). Source: Meiborg_Debt_Schedule_202511.xlsx</t>
      </text>
    </comment>
    <comment ref="D385" authorId="0" shapeId="0">
      <text>
        <t>Loan: BMO, 1 Peterbilt 579 (July 2023). Interest = Opening * 6.68% / 12</t>
      </text>
    </comment>
    <comment ref="E385" authorId="0" shapeId="0">
      <text>
        <t>Loan: BMO, 1 Peterbilt 579 (July 2023). Principal = MIN(Opening, Payment - Interest)</t>
      </text>
    </comment>
    <comment ref="F385" authorId="0" shapeId="0">
      <text>
        <t>Loan: BMO, 1 Peterbilt 579 (July 2023). Closing = Opening - Principal</t>
      </text>
    </comment>
    <comment ref="C386" authorId="0" shapeId="0">
      <text>
        <t>Loan: BMO, 1 Peterbilt 579 (July 2023). Source: Meiborg_Debt_Schedule_202511.xlsx</t>
      </text>
    </comment>
    <comment ref="D386" authorId="0" shapeId="0">
      <text>
        <t>Loan: BMO, 1 Peterbilt 579 (July 2023). Interest = Opening * 6.68% / 12</t>
      </text>
    </comment>
    <comment ref="E386" authorId="0" shapeId="0">
      <text>
        <t>Loan: BMO, 1 Peterbilt 579 (July 2023). Principal = MIN(Opening, Payment - Interest)</t>
      </text>
    </comment>
    <comment ref="F386" authorId="0" shapeId="0">
      <text>
        <t>Loan: BMO, 1 Peterbilt 579 (July 2023). Closing = Opening - Principal</t>
      </text>
    </comment>
    <comment ref="C387" authorId="0" shapeId="0">
      <text>
        <t>Loan: BMO, 1 Peterbilt 579 (July 2023). Source: Meiborg_Debt_Schedule_202511.xlsx</t>
      </text>
    </comment>
    <comment ref="D387" authorId="0" shapeId="0">
      <text>
        <t>Loan: BMO, 1 Peterbilt 579 (July 2023). Interest = Opening * 6.68% / 12</t>
      </text>
    </comment>
    <comment ref="E387" authorId="0" shapeId="0">
      <text>
        <t>Loan: BMO, 1 Peterbilt 579 (July 2023). Principal = MIN(Opening, Payment - Interest)</t>
      </text>
    </comment>
    <comment ref="F387" authorId="0" shapeId="0">
      <text>
        <t>Loan: BMO, 1 Peterbilt 579 (July 2023). Closing = Opening - Principal</t>
      </text>
    </comment>
    <comment ref="C388" authorId="0" shapeId="0">
      <text>
        <t>Loan: BMO, 1 Peterbilt 579 (July 2023). Source: Meiborg_Debt_Schedule_202511.xlsx</t>
      </text>
    </comment>
    <comment ref="D388" authorId="0" shapeId="0">
      <text>
        <t>Loan: BMO, 1 Peterbilt 579 (July 2023). Interest = Opening * 6.68% / 12</t>
      </text>
    </comment>
    <comment ref="E388" authorId="0" shapeId="0">
      <text>
        <t>Loan: BMO, 1 Peterbilt 579 (July 2023). Principal = MIN(Opening, Payment - Interest)</t>
      </text>
    </comment>
    <comment ref="F388" authorId="0" shapeId="0">
      <text>
        <t>Loan: BMO, 1 Peterbilt 579 (July 2023). Closing = Opening - Principal</t>
      </text>
    </comment>
    <comment ref="C389" authorId="0" shapeId="0">
      <text>
        <t>Loan: BMO, 1 Peterbilt 579 (July 2023). Source: Meiborg_Debt_Schedule_202511.xlsx</t>
      </text>
    </comment>
    <comment ref="D389" authorId="0" shapeId="0">
      <text>
        <t>Loan: BMO, 1 Peterbilt 579 (July 2023). Interest = Opening * 6.68% / 12</t>
      </text>
    </comment>
    <comment ref="E389" authorId="0" shapeId="0">
      <text>
        <t>Loan: BMO, 1 Peterbilt 579 (July 2023). Principal = MIN(Opening, Payment - Interest)</t>
      </text>
    </comment>
    <comment ref="F389" authorId="0" shapeId="0">
      <text>
        <t>Loan: BMO, 1 Peterbilt 579 (July 2023). Closing = Opening - Principal</t>
      </text>
    </comment>
    <comment ref="C390" authorId="0" shapeId="0">
      <text>
        <t>Loan: BMO, 1 Peterbilt 579 (July 2023). Source: Meiborg_Debt_Schedule_202511.xlsx</t>
      </text>
    </comment>
    <comment ref="D390" authorId="0" shapeId="0">
      <text>
        <t>Loan: BMO, 1 Peterbilt 579 (July 2023). Interest = Opening * 6.68% / 12</t>
      </text>
    </comment>
    <comment ref="E390" authorId="0" shapeId="0">
      <text>
        <t>Loan: BMO, 1 Peterbilt 579 (July 2023). Principal = MIN(Opening, Payment - Interest)</t>
      </text>
    </comment>
    <comment ref="F390" authorId="0" shapeId="0">
      <text>
        <t>Loan: BMO, 1 Peterbilt 579 (July 2023). Closing = Opening - Principal</t>
      </text>
    </comment>
    <comment ref="C391" authorId="0" shapeId="0">
      <text>
        <t>Loan: BMO, 1 Peterbilt 579 (July 2023). Source: Meiborg_Debt_Schedule_202511.xlsx</t>
      </text>
    </comment>
    <comment ref="D391" authorId="0" shapeId="0">
      <text>
        <t>Loan: BMO, 1 Peterbilt 579 (July 2023). Interest = Opening * 6.68% / 12</t>
      </text>
    </comment>
    <comment ref="E391" authorId="0" shapeId="0">
      <text>
        <t>Loan: BMO, 1 Peterbilt 579 (July 2023). Principal = MIN(Opening, Payment - Interest)</t>
      </text>
    </comment>
    <comment ref="F391" authorId="0" shapeId="0">
      <text>
        <t>Loan: BMO, 1 Peterbilt 579 (July 2023). Closing = Opening - Principal</t>
      </text>
    </comment>
    <comment ref="C392" authorId="0" shapeId="0">
      <text>
        <t>Loan: BMO, 1 Peterbilt 579 (July 2023). Source: Meiborg_Debt_Schedule_202511.xlsx</t>
      </text>
    </comment>
    <comment ref="D392" authorId="0" shapeId="0">
      <text>
        <t>Loan: BMO, 1 Peterbilt 579 (July 2023). Interest = Opening * 6.68% / 12</t>
      </text>
    </comment>
    <comment ref="E392" authorId="0" shapeId="0">
      <text>
        <t>Loan: BMO, 1 Peterbilt 579 (July 2023). Principal = MIN(Opening, Payment - Interest)</t>
      </text>
    </comment>
    <comment ref="F392" authorId="0" shapeId="0">
      <text>
        <t>Loan: BMO, 1 Peterbilt 579 (July 2023). Closing = Opening - Principal</t>
      </text>
    </comment>
    <comment ref="C393" authorId="0" shapeId="0">
      <text>
        <t>Loan: BMO, 1 Peterbilt 579 (July 2023). Source: Meiborg_Debt_Schedule_202511.xlsx</t>
      </text>
    </comment>
    <comment ref="D393" authorId="0" shapeId="0">
      <text>
        <t>Loan: BMO, 1 Peterbilt 579 (July 2023). Interest = Opening * 6.68% / 12</t>
      </text>
    </comment>
    <comment ref="E393" authorId="0" shapeId="0">
      <text>
        <t>Loan: BMO, 1 Peterbilt 579 (July 2023). Principal = MIN(Opening, Payment - Interest)</t>
      </text>
    </comment>
    <comment ref="F393" authorId="0" shapeId="0">
      <text>
        <t>Loan: BMO, 1 Peterbilt 579 (July 2023). Closing = Opening - Principal</t>
      </text>
    </comment>
    <comment ref="C394" authorId="0" shapeId="0">
      <text>
        <t>Loan: BMO, 1 Peterbilt 579 (July 2023). Source: Meiborg_Debt_Schedule_202511.xlsx</t>
      </text>
    </comment>
    <comment ref="D394" authorId="0" shapeId="0">
      <text>
        <t>Loan: BMO, 1 Peterbilt 579 (July 2023). Interest = Opening * 6.68% / 12</t>
      </text>
    </comment>
    <comment ref="E394" authorId="0" shapeId="0">
      <text>
        <t>Loan: BMO, 1 Peterbilt 579 (July 2023). Principal = MIN(Opening, Payment - Interest)</t>
      </text>
    </comment>
    <comment ref="F394" authorId="0" shapeId="0">
      <text>
        <t>Loan: BMO, 1 Peterbilt 579 (July 2023). Closing = Opening - Principal</t>
      </text>
    </comment>
    <comment ref="C395" authorId="0" shapeId="0">
      <text>
        <t>Loan: BMO, 1 Peterbilt 579 (July 2023). Source: Meiborg_Debt_Schedule_202511.xlsx</t>
      </text>
    </comment>
    <comment ref="D395" authorId="0" shapeId="0">
      <text>
        <t>Loan: BMO, 1 Peterbilt 579 (July 2023). Interest = Opening * 6.68% / 12</t>
      </text>
    </comment>
    <comment ref="E395" authorId="0" shapeId="0">
      <text>
        <t>Loan: BMO, 1 Peterbilt 579 (July 2023). Principal = MIN(Opening, Payment - Interest)</t>
      </text>
    </comment>
    <comment ref="F395" authorId="0" shapeId="0">
      <text>
        <t>Loan: BMO, 1 Peterbilt 579 (July 2023). Closing = Opening - Principal</t>
      </text>
    </comment>
    <comment ref="C396" authorId="0" shapeId="0">
      <text>
        <t>Loan: BMO, 1 Peterbilt 579 (July 2023). Source: Meiborg_Debt_Schedule_202511.xlsx</t>
      </text>
    </comment>
    <comment ref="D396" authorId="0" shapeId="0">
      <text>
        <t>Loan: BMO, 1 Peterbilt 579 (July 2023). Interest = Opening * 6.68% / 12</t>
      </text>
    </comment>
    <comment ref="E396" authorId="0" shapeId="0">
      <text>
        <t>Loan: BMO, 1 Peterbilt 579 (July 2023). Principal = MIN(Opening, Payment - Interest)</t>
      </text>
    </comment>
    <comment ref="F396" authorId="0" shapeId="0">
      <text>
        <t>Loan: BMO, 1 Peterbilt 579 (July 2023). Closing = Opening - Principal</t>
      </text>
    </comment>
    <comment ref="C397" authorId="0" shapeId="0">
      <text>
        <t>Loan: BMO, 1 Peterbilt 579 (July 2023). Source: Meiborg_Debt_Schedule_202511.xlsx</t>
      </text>
    </comment>
    <comment ref="D397" authorId="0" shapeId="0">
      <text>
        <t>Loan: BMO, 1 Peterbilt 579 (July 2023). Interest = Opening * 6.68% / 12</t>
      </text>
    </comment>
    <comment ref="E397" authorId="0" shapeId="0">
      <text>
        <t>Loan: BMO, 1 Peterbilt 579 (July 2023). Principal = MIN(Opening, Payment - Interest)</t>
      </text>
    </comment>
    <comment ref="F397" authorId="0" shapeId="0">
      <text>
        <t>Loan: BMO, 1 Peterbilt 579 (July 2023). Closing = Opening - Principal</t>
      </text>
    </comment>
    <comment ref="C398" authorId="0" shapeId="0">
      <text>
        <t>Loan: BMO, 1 Peterbilt 579 (July 2023). Source: Meiborg_Debt_Schedule_202511.xlsx</t>
      </text>
    </comment>
    <comment ref="D398" authorId="0" shapeId="0">
      <text>
        <t>Loan: BMO, 1 Peterbilt 579 (July 2023). Interest = Opening * 6.68% / 12</t>
      </text>
    </comment>
    <comment ref="E398" authorId="0" shapeId="0">
      <text>
        <t>Loan: BMO, 1 Peterbilt 579 (July 2023). Principal = MIN(Opening, Payment - Interest)</t>
      </text>
    </comment>
    <comment ref="F398" authorId="0" shapeId="0">
      <text>
        <t>Loan: BMO, 1 Peterbilt 579 (July 2023). Closing = Opening - Principal</t>
      </text>
    </comment>
    <comment ref="C399" authorId="0" shapeId="0">
      <text>
        <t>Loan: BMO, 1 Peterbilt 579 (July 2023). Source: Meiborg_Debt_Schedule_202511.xlsx</t>
      </text>
    </comment>
    <comment ref="D399" authorId="0" shapeId="0">
      <text>
        <t>Loan: BMO, 1 Peterbilt 579 (July 2023). Interest = Opening * 6.68% / 12</t>
      </text>
    </comment>
    <comment ref="E399" authorId="0" shapeId="0">
      <text>
        <t>Loan: BMO, 1 Peterbilt 579 (July 2023). Principal = MIN(Opening, Payment - Interest)</t>
      </text>
    </comment>
    <comment ref="F399" authorId="0" shapeId="0">
      <text>
        <t>Loan: BMO, 1 Peterbilt 579 (July 2023). Closing = Opening - Principal</t>
      </text>
    </comment>
    <comment ref="C400" authorId="0" shapeId="0">
      <text>
        <t>Loan: BMO, 1 Peterbilt 579 (July 2023). Source: Meiborg_Debt_Schedule_202511.xlsx</t>
      </text>
    </comment>
    <comment ref="D400" authorId="0" shapeId="0">
      <text>
        <t>Loan: BMO, 1 Peterbilt 579 (July 2023). Interest = Opening * 6.68% / 12</t>
      </text>
    </comment>
    <comment ref="E400" authorId="0" shapeId="0">
      <text>
        <t>Loan: BMO, 1 Peterbilt 579 (July 2023). Principal = MIN(Opening, Payment - Interest)</t>
      </text>
    </comment>
    <comment ref="F400" authorId="0" shapeId="0">
      <text>
        <t>Loan: BMO, 1 Peterbilt 579 (July 2023). Closing = Opening - Principal</t>
      </text>
    </comment>
    <comment ref="C401" authorId="0" shapeId="0">
      <text>
        <t>Loan: BMO, 1 Peterbilt 579 (July 2023). Source: Meiborg_Debt_Schedule_202511.xlsx</t>
      </text>
    </comment>
    <comment ref="D401" authorId="0" shapeId="0">
      <text>
        <t>Loan: BMO, 1 Peterbilt 579 (July 2023). Interest = Opening * 6.68% / 12</t>
      </text>
    </comment>
    <comment ref="E401" authorId="0" shapeId="0">
      <text>
        <t>Loan: BMO, 1 Peterbilt 579 (July 2023). Principal = MIN(Opening, Payment - Interest)</t>
      </text>
    </comment>
    <comment ref="F401" authorId="0" shapeId="0">
      <text>
        <t>Loan: BMO, 1 Peterbilt 579 (July 2023). Closing = Opening - Principal</t>
      </text>
    </comment>
    <comment ref="C402" authorId="0" shapeId="0">
      <text>
        <t>Loan: BMO, 1 Peterbilt 579 (July 2023). Source: Meiborg_Debt_Schedule_202511.xlsx</t>
      </text>
    </comment>
    <comment ref="D402" authorId="0" shapeId="0">
      <text>
        <t>Loan: BMO, 1 Peterbilt 579 (July 2023). Interest = Opening * 6.68% / 12</t>
      </text>
    </comment>
    <comment ref="E402" authorId="0" shapeId="0">
      <text>
        <t>Loan: BMO, 1 Peterbilt 579 (July 2023). Principal = MIN(Opening, Payment - Interest)</t>
      </text>
    </comment>
    <comment ref="F402" authorId="0" shapeId="0">
      <text>
        <t>Loan: BMO, 1 Peterbilt 579 (July 2023). Closing = Opening - Principal</t>
      </text>
    </comment>
    <comment ref="C403" authorId="0" shapeId="0">
      <text>
        <t>Loan: BMO, 1 Peterbilt 579 (July 2023). Source: Meiborg_Debt_Schedule_202511.xlsx</t>
      </text>
    </comment>
    <comment ref="D403" authorId="0" shapeId="0">
      <text>
        <t>Loan: BMO, 1 Peterbilt 579 (July 2023). Interest = Opening * 6.68% / 12</t>
      </text>
    </comment>
    <comment ref="E403" authorId="0" shapeId="0">
      <text>
        <t>Loan: BMO, 1 Peterbilt 579 (July 2023). Principal = MIN(Opening, Payment - Interest)</t>
      </text>
    </comment>
    <comment ref="F403" authorId="0" shapeId="0">
      <text>
        <t>Loan: BMO, 1 Peterbilt 579 (July 2023). Closing = Opening - Principal</t>
      </text>
    </comment>
    <comment ref="C404" authorId="0" shapeId="0">
      <text>
        <t>Loan: BMO, 1 Peterbilt 579 (July 2023). Source: Meiborg_Debt_Schedule_202511.xlsx</t>
      </text>
    </comment>
    <comment ref="D404" authorId="0" shapeId="0">
      <text>
        <t>Loan: BMO, 1 Peterbilt 579 (July 2023). Interest = Opening * 6.68% / 12</t>
      </text>
    </comment>
    <comment ref="E404" authorId="0" shapeId="0">
      <text>
        <t>Loan: BMO, 1 Peterbilt 579 (July 2023). Principal = MIN(Opening, Payment - Interest)</t>
      </text>
    </comment>
    <comment ref="F404" authorId="0" shapeId="0">
      <text>
        <t>Loan: BMO, 1 Peterbilt 579 (July 2023). Closing = Opening - Principal</t>
      </text>
    </comment>
    <comment ref="C405" authorId="0" shapeId="0">
      <text>
        <t>Loan: BMO, 1 Peterbilt 579 (July 2023). Source: Meiborg_Debt_Schedule_202511.xlsx</t>
      </text>
    </comment>
    <comment ref="D405" authorId="0" shapeId="0">
      <text>
        <t>Loan: BMO, 1 Peterbilt 579 (July 2023). Interest = Opening * 6.68% / 12</t>
      </text>
    </comment>
    <comment ref="E405" authorId="0" shapeId="0">
      <text>
        <t>Loan: BMO, 1 Peterbilt 579 (July 2023). Principal = MIN(Opening, Payment - Interest)</t>
      </text>
    </comment>
    <comment ref="F405" authorId="0" shapeId="0">
      <text>
        <t>Loan: BMO, 1 Peterbilt 579 (July 2023). Closing = Opening - Principal</t>
      </text>
    </comment>
    <comment ref="C406" authorId="0" shapeId="0">
      <text>
        <t>Loan: BMO, 1 Peterbilt 579 (July 2023). Source: Meiborg_Debt_Schedule_202511.xlsx</t>
      </text>
    </comment>
    <comment ref="D406" authorId="0" shapeId="0">
      <text>
        <t>Loan: BMO, 1 Peterbilt 579 (July 2023). Interest = Opening * 6.68% / 12</t>
      </text>
    </comment>
    <comment ref="E406" authorId="0" shapeId="0">
      <text>
        <t>Loan: BMO, 1 Peterbilt 579 (July 2023). Principal = MIN(Opening, Payment - Interest)</t>
      </text>
    </comment>
    <comment ref="F406" authorId="0" shapeId="0">
      <text>
        <t>Loan: BMO, 1 Peterbilt 579 (July 2023). Closing = Opening - Principal</t>
      </text>
    </comment>
    <comment ref="C407" authorId="0" shapeId="0">
      <text>
        <t>Loan: BMO, 1 Peterbilt 579 (July 2023). Source: Meiborg_Debt_Schedule_202511.xlsx</t>
      </text>
    </comment>
    <comment ref="D407" authorId="0" shapeId="0">
      <text>
        <t>Loan: BMO, 1 Peterbilt 579 (July 2023). Interest = Opening * 6.68% / 12</t>
      </text>
    </comment>
    <comment ref="E407" authorId="0" shapeId="0">
      <text>
        <t>Loan: BMO, 1 Peterbilt 579 (July 2023). Principal = MIN(Opening, Payment - Interest)</t>
      </text>
    </comment>
    <comment ref="F407" authorId="0" shapeId="0">
      <text>
        <t>Loan: BMO, 1 Peterbilt 579 (July 2023). Closing = Opening - Principal</t>
      </text>
    </comment>
    <comment ref="C408" authorId="0" shapeId="0">
      <text>
        <t>Loan: BMO, 1 Peterbilt 579 (July 2023). Source: Meiborg_Debt_Schedule_202511.xlsx</t>
      </text>
    </comment>
    <comment ref="D408" authorId="0" shapeId="0">
      <text>
        <t>Loan: BMO, 1 Peterbilt 579 (July 2023). Interest = Opening * 6.68% / 12</t>
      </text>
    </comment>
    <comment ref="E408" authorId="0" shapeId="0">
      <text>
        <t>Loan: BMO, 1 Peterbilt 579 (July 2023). Principal = MIN(Opening, Payment - Interest)</t>
      </text>
    </comment>
    <comment ref="F408" authorId="0" shapeId="0">
      <text>
        <t>Loan: BMO, 1 Peterbilt 579 (July 2023). Closing = Opening - Principal</t>
      </text>
    </comment>
    <comment ref="C409" authorId="0" shapeId="0">
      <text>
        <t>Loan: BMO, 1 Peterbilt 579 (July 2023). Source: Meiborg_Debt_Schedule_202511.xlsx</t>
      </text>
    </comment>
    <comment ref="D409" authorId="0" shapeId="0">
      <text>
        <t>Loan: BMO, 1 Peterbilt 579 (July 2023). Interest = Opening * 6.68% / 12</t>
      </text>
    </comment>
    <comment ref="E409" authorId="0" shapeId="0">
      <text>
        <t>Loan: BMO, 1 Peterbilt 579 (July 2023). Principal = MIN(Opening, Payment - Interest)</t>
      </text>
    </comment>
    <comment ref="F409" authorId="0" shapeId="0">
      <text>
        <t>Loan: BMO, 1 Peterbilt 579 (July 2023). Closing = Opening - Principal</t>
      </text>
    </comment>
    <comment ref="C410" authorId="0" shapeId="0">
      <text>
        <t>Loan: BMO, 1 Peterbilt 579 (July 2023). Source: Meiborg_Debt_Schedule_202511.xlsx</t>
      </text>
    </comment>
    <comment ref="D410" authorId="0" shapeId="0">
      <text>
        <t>Loan: BMO, 1 Peterbilt 579 (July 2023). Interest = Opening * 6.68% / 12</t>
      </text>
    </comment>
    <comment ref="E410" authorId="0" shapeId="0">
      <text>
        <t>Loan: BMO, 1 Peterbilt 579 (July 2023). Principal = MIN(Opening, Payment - Interest)</t>
      </text>
    </comment>
    <comment ref="F410" authorId="0" shapeId="0">
      <text>
        <t>Loan: BMO, 1 Peterbilt 579 (July 2023). Closing = Opening - Principal</t>
      </text>
    </comment>
    <comment ref="C411" authorId="0" shapeId="0">
      <text>
        <t>Loan: BMO, 1 Peterbilt 579 (July 2023). Source: Meiborg_Debt_Schedule_202511.xlsx</t>
      </text>
    </comment>
    <comment ref="D411" authorId="0" shapeId="0">
      <text>
        <t>Loan: BMO, 1 Peterbilt 579 (July 2023). Interest = Opening * 6.68% / 12</t>
      </text>
    </comment>
    <comment ref="E411" authorId="0" shapeId="0">
      <text>
        <t>Loan: BMO, 1 Peterbilt 579 (July 2023). Principal = MIN(Opening, Payment - Interest)</t>
      </text>
    </comment>
    <comment ref="F411" authorId="0" shapeId="0">
      <text>
        <t>Loan: BMO, 1 Peterbilt 579 (July 2023). Closing = Opening - Principal</t>
      </text>
    </comment>
    <comment ref="C412" authorId="0" shapeId="0">
      <text>
        <t>Loan: BMO, 1 Peterbilt 579 (July 2023). Source: Meiborg_Debt_Schedule_202511.xlsx</t>
      </text>
    </comment>
    <comment ref="D412" authorId="0" shapeId="0">
      <text>
        <t>Loan: BMO, 1 Peterbilt 579 (July 2023). Interest = Opening * 6.68% / 12</t>
      </text>
    </comment>
    <comment ref="E412" authorId="0" shapeId="0">
      <text>
        <t>Loan: BMO, 1 Peterbilt 579 (July 2023). Principal = MIN(Opening, Payment - Interest)</t>
      </text>
    </comment>
    <comment ref="F412" authorId="0" shapeId="0">
      <text>
        <t>Loan: BMO, 1 Peterbilt 579 (July 2023). Closing = Opening - Principal</t>
      </text>
    </comment>
    <comment ref="C413" authorId="0" shapeId="0">
      <text>
        <t>Loan: BMO, 1 Peterbilt 579 (July 2023). Source: Meiborg_Debt_Schedule_202511.xlsx</t>
      </text>
    </comment>
    <comment ref="D413" authorId="0" shapeId="0">
      <text>
        <t>Loan: BMO, 1 Peterbilt 579 (July 2023). Interest = Opening * 6.68% / 12</t>
      </text>
    </comment>
    <comment ref="E413" authorId="0" shapeId="0">
      <text>
        <t>Loan: BMO, 1 Peterbilt 579 (July 2023). Principal = MIN(Opening, Payment - Interest)</t>
      </text>
    </comment>
    <comment ref="F413" authorId="0" shapeId="0">
      <text>
        <t>Loan: BMO, 1 Peterbilt 579 (July 2023). Closing = Opening - Principal</t>
      </text>
    </comment>
    <comment ref="C414" authorId="0" shapeId="0">
      <text>
        <t>Loan: BMO, 1 Peterbilt 579 (July 2023). Source: Meiborg_Debt_Schedule_202511.xlsx</t>
      </text>
    </comment>
    <comment ref="D414" authorId="0" shapeId="0">
      <text>
        <t>Loan: BMO, 1 Peterbilt 579 (July 2023). Interest = Opening * 6.68% / 12</t>
      </text>
    </comment>
    <comment ref="E414" authorId="0" shapeId="0">
      <text>
        <t>Loan: BMO, 1 Peterbilt 579 (July 2023). Principal = MIN(Opening, Payment - Interest)</t>
      </text>
    </comment>
    <comment ref="F414" authorId="0" shapeId="0">
      <text>
        <t>Loan: BMO, 1 Peterbilt 579 (July 2023). Closing = Opening - Principal</t>
      </text>
    </comment>
    <comment ref="C415" authorId="0" shapeId="0">
      <text>
        <t>Loan: BMO, 1 Peterbilt 579 (July 2023). Source: Meiborg_Debt_Schedule_202511.xlsx</t>
      </text>
    </comment>
    <comment ref="D415" authorId="0" shapeId="0">
      <text>
        <t>Loan: BMO, 1 Peterbilt 579 (July 2023). Interest = Opening * 6.68% / 12</t>
      </text>
    </comment>
    <comment ref="E415" authorId="0" shapeId="0">
      <text>
        <t>Loan: BMO, 1 Peterbilt 579 (July 2023). Principal = MIN(Opening, Payment - Interest)</t>
      </text>
    </comment>
    <comment ref="F415" authorId="0" shapeId="0">
      <text>
        <t>Loan: BMO, 1 Peterbilt 579 (July 2023). Closing = Opening - Principal</t>
      </text>
    </comment>
    <comment ref="C416" authorId="0" shapeId="0">
      <text>
        <t>Loan: BMO, 1 Peterbilt 579 (July 2023). Source: Meiborg_Debt_Schedule_202511.xlsx</t>
      </text>
    </comment>
    <comment ref="D416" authorId="0" shapeId="0">
      <text>
        <t>Loan: BMO, 1 Peterbilt 579 (July 2023). Interest = Opening * 6.68% / 12</t>
      </text>
    </comment>
    <comment ref="E416" authorId="0" shapeId="0">
      <text>
        <t>Loan: BMO, 1 Peterbilt 579 (July 2023). Principal = MIN(Opening, Payment - Interest)</t>
      </text>
    </comment>
    <comment ref="F416" authorId="0" shapeId="0">
      <text>
        <t>Loan: BMO, 1 Peterbilt 579 (July 2023). Closing = Opening - Principal</t>
      </text>
    </comment>
    <comment ref="C417" authorId="0" shapeId="0">
      <text>
        <t>Loan: BMO, 1 Peterbilt 579 (July 2023). Source: Meiborg_Debt_Schedule_202511.xlsx</t>
      </text>
    </comment>
    <comment ref="D417" authorId="0" shapeId="0">
      <text>
        <t>Loan: BMO, 1 Peterbilt 579 (July 2023). Interest = Opening * 6.68% / 12</t>
      </text>
    </comment>
    <comment ref="E417" authorId="0" shapeId="0">
      <text>
        <t>Loan: BMO, 1 Peterbilt 579 (July 2023). Principal = MIN(Opening, Payment - Interest)</t>
      </text>
    </comment>
    <comment ref="F417" authorId="0" shapeId="0">
      <text>
        <t>Loan: BMO, 1 Peterbilt 579 (July 2023). Closing = Opening - Principal</t>
      </text>
    </comment>
    <comment ref="C418" authorId="0" shapeId="0">
      <text>
        <t>Loan: BMO, 1 Peterbilt 579 (July 2023). Source: Meiborg_Debt_Schedule_202511.xlsx</t>
      </text>
    </comment>
    <comment ref="D418" authorId="0" shapeId="0">
      <text>
        <t>Loan: BMO, 1 Peterbilt 579 (July 2023). Interest = Opening * 6.68% / 12</t>
      </text>
    </comment>
    <comment ref="E418" authorId="0" shapeId="0">
      <text>
        <t>Loan: BMO, 1 Peterbilt 579 (July 2023). Principal = MIN(Opening, Payment - Interest)</t>
      </text>
    </comment>
    <comment ref="F418" authorId="0" shapeId="0">
      <text>
        <t>Loan: BMO, 1 Peterbilt 579 (July 2023). Closing = Opening - Principal</t>
      </text>
    </comment>
    <comment ref="C419" authorId="0" shapeId="0">
      <text>
        <t>Loan: BMO, 1 Peterbilt 579 (July 2023). Source: Meiborg_Debt_Schedule_202511.xlsx</t>
      </text>
    </comment>
    <comment ref="D419" authorId="0" shapeId="0">
      <text>
        <t>Loan: BMO, 1 Peterbilt 579 (July 2023). Interest = Opening * 6.68% / 12</t>
      </text>
    </comment>
    <comment ref="E419" authorId="0" shapeId="0">
      <text>
        <t>Loan: BMO, 1 Peterbilt 579 (July 2023). Principal = MIN(Opening, Payment - Interest)</t>
      </text>
    </comment>
    <comment ref="F419" authorId="0" shapeId="0">
      <text>
        <t>Loan: BMO, 1 Peterbilt 579 (July 2023). Closing = Opening - Principal</t>
      </text>
    </comment>
    <comment ref="C420" authorId="0" shapeId="0">
      <text>
        <t>Loan: BMO, 1 Peterbilt 579 (July 2023). Source: Meiborg_Debt_Schedule_202511.xlsx</t>
      </text>
    </comment>
    <comment ref="D420" authorId="0" shapeId="0">
      <text>
        <t>Loan: BMO, 1 Peterbilt 579 (July 2023). Interest = Opening * 6.68% / 12</t>
      </text>
    </comment>
    <comment ref="E420" authorId="0" shapeId="0">
      <text>
        <t>Loan: BMO, 1 Peterbilt 579 (July 2023). Principal = MIN(Opening, Payment - Interest)</t>
      </text>
    </comment>
    <comment ref="F420" authorId="0" shapeId="0">
      <text>
        <t>Loan: BMO, 1 Peterbilt 579 (July 2023). Closing = Opening - Principal</t>
      </text>
    </comment>
    <comment ref="C421" authorId="0" shapeId="0">
      <text>
        <t>Loan: BMO, 1 Peterbilt 579 (July 2023). Source: Meiborg_Debt_Schedule_202511.xlsx</t>
      </text>
    </comment>
    <comment ref="D421" authorId="0" shapeId="0">
      <text>
        <t>Loan: BMO, 1 Peterbilt 579 (July 2023). Interest = Opening * 6.68% / 12</t>
      </text>
    </comment>
    <comment ref="E421" authorId="0" shapeId="0">
      <text>
        <t>Loan: BMO, 1 Peterbilt 579 (July 2023). Principal = MIN(Opening, Payment - Interest)</t>
      </text>
    </comment>
    <comment ref="F421" authorId="0" shapeId="0">
      <text>
        <t>Loan: BMO, 1 Peterbilt 579 (July 2023). Closing = Opening - Principal</t>
      </text>
    </comment>
    <comment ref="D422" authorId="0" shapeId="0">
      <text>
        <t>Sum of rows 384-421: Total interest over remaining term</t>
      </text>
    </comment>
    <comment ref="E422" authorId="0" shapeId="0">
      <text>
        <t>Sum of rows 384-421: Total principal over remaining term</t>
      </text>
    </comment>
    <comment ref="B430" authorId="0" shapeId="0">
      <text>
        <t>Source: loans.md - BMO 6 T680 Sleepers (July 2023)
Extracted: 2026-05-19</t>
      </text>
    </comment>
    <comment ref="B431" authorId="0" shapeId="0">
      <text>
        <t>Source: loans.md - BMO 6 T680 Sleepers (July 2023)
Extracted: 2026-05-19</t>
      </text>
    </comment>
    <comment ref="B433" authorId="0" shapeId="0">
      <text>
        <t>Source: loans.md - BMO 6 T680 Sleepers (July 2023)
Extracted: 2026-05-19</t>
      </text>
    </comment>
    <comment ref="C438" authorId="0" shapeId="0">
      <text>
        <t>Loan: BMO, 6 T680 Sleepers (July 2023). Source: Meiborg_Debt_Schedule_202511.xlsx</t>
      </text>
    </comment>
    <comment ref="D438" authorId="0" shapeId="0">
      <text>
        <t>Loan: BMO, 6 T680 Sleepers (July 2023). Interest = Opening * 6.68% / 12</t>
      </text>
    </comment>
    <comment ref="E438" authorId="0" shapeId="0">
      <text>
        <t>Loan: BMO, 6 T680 Sleepers (July 2023). Principal = MIN(Opening, Payment - Interest)</t>
      </text>
    </comment>
    <comment ref="F438" authorId="0" shapeId="0">
      <text>
        <t>Loan: BMO, 6 T680 Sleepers (July 2023). Closing = Opening - Principal</t>
      </text>
    </comment>
    <comment ref="C439" authorId="0" shapeId="0">
      <text>
        <t>Loan: BMO, 6 T680 Sleepers (July 2023). Source: Meiborg_Debt_Schedule_202511.xlsx</t>
      </text>
    </comment>
    <comment ref="D439" authorId="0" shapeId="0">
      <text>
        <t>Loan: BMO, 6 T680 Sleepers (July 2023). Interest = Opening * 6.68% / 12</t>
      </text>
    </comment>
    <comment ref="E439" authorId="0" shapeId="0">
      <text>
        <t>Loan: BMO, 6 T680 Sleepers (July 2023). Principal = MIN(Opening, Payment - Interest)</t>
      </text>
    </comment>
    <comment ref="F439" authorId="0" shapeId="0">
      <text>
        <t>Loan: BMO, 6 T680 Sleepers (July 2023). Closing = Opening - Principal</t>
      </text>
    </comment>
    <comment ref="C440" authorId="0" shapeId="0">
      <text>
        <t>Loan: BMO, 6 T680 Sleepers (July 2023). Source: Meiborg_Debt_Schedule_202511.xlsx</t>
      </text>
    </comment>
    <comment ref="D440" authorId="0" shapeId="0">
      <text>
        <t>Loan: BMO, 6 T680 Sleepers (July 2023). Interest = Opening * 6.68% / 12</t>
      </text>
    </comment>
    <comment ref="E440" authorId="0" shapeId="0">
      <text>
        <t>Loan: BMO, 6 T680 Sleepers (July 2023). Principal = MIN(Opening, Payment - Interest)</t>
      </text>
    </comment>
    <comment ref="F440" authorId="0" shapeId="0">
      <text>
        <t>Loan: BMO, 6 T680 Sleepers (July 2023). Closing = Opening - Principal</t>
      </text>
    </comment>
    <comment ref="C441" authorId="0" shapeId="0">
      <text>
        <t>Loan: BMO, 6 T680 Sleepers (July 2023). Source: Meiborg_Debt_Schedule_202511.xlsx</t>
      </text>
    </comment>
    <comment ref="D441" authorId="0" shapeId="0">
      <text>
        <t>Loan: BMO, 6 T680 Sleepers (July 2023). Interest = Opening * 6.68% / 12</t>
      </text>
    </comment>
    <comment ref="E441" authorId="0" shapeId="0">
      <text>
        <t>Loan: BMO, 6 T680 Sleepers (July 2023). Principal = MIN(Opening, Payment - Interest)</t>
      </text>
    </comment>
    <comment ref="F441" authorId="0" shapeId="0">
      <text>
        <t>Loan: BMO, 6 T680 Sleepers (July 2023). Closing = Opening - Principal</t>
      </text>
    </comment>
    <comment ref="C442" authorId="0" shapeId="0">
      <text>
        <t>Loan: BMO, 6 T680 Sleepers (July 2023). Source: Meiborg_Debt_Schedule_202511.xlsx</t>
      </text>
    </comment>
    <comment ref="D442" authorId="0" shapeId="0">
      <text>
        <t>Loan: BMO, 6 T680 Sleepers (July 2023). Interest = Opening * 6.68% / 12</t>
      </text>
    </comment>
    <comment ref="E442" authorId="0" shapeId="0">
      <text>
        <t>Loan: BMO, 6 T680 Sleepers (July 2023). Principal = MIN(Opening, Payment - Interest)</t>
      </text>
    </comment>
    <comment ref="F442" authorId="0" shapeId="0">
      <text>
        <t>Loan: BMO, 6 T680 Sleepers (July 2023). Closing = Opening - Principal</t>
      </text>
    </comment>
    <comment ref="C443" authorId="0" shapeId="0">
      <text>
        <t>Loan: BMO, 6 T680 Sleepers (July 2023). Source: Meiborg_Debt_Schedule_202511.xlsx</t>
      </text>
    </comment>
    <comment ref="D443" authorId="0" shapeId="0">
      <text>
        <t>Loan: BMO, 6 T680 Sleepers (July 2023). Interest = Opening * 6.68% / 12</t>
      </text>
    </comment>
    <comment ref="E443" authorId="0" shapeId="0">
      <text>
        <t>Loan: BMO, 6 T680 Sleepers (July 2023). Principal = MIN(Opening, Payment - Interest)</t>
      </text>
    </comment>
    <comment ref="F443" authorId="0" shapeId="0">
      <text>
        <t>Loan: BMO, 6 T680 Sleepers (July 2023). Closing = Opening - Principal</t>
      </text>
    </comment>
    <comment ref="C444" authorId="0" shapeId="0">
      <text>
        <t>Loan: BMO, 6 T680 Sleepers (July 2023). Source: Meiborg_Debt_Schedule_202511.xlsx</t>
      </text>
    </comment>
    <comment ref="D444" authorId="0" shapeId="0">
      <text>
        <t>Loan: BMO, 6 T680 Sleepers (July 2023). Interest = Opening * 6.68% / 12</t>
      </text>
    </comment>
    <comment ref="E444" authorId="0" shapeId="0">
      <text>
        <t>Loan: BMO, 6 T680 Sleepers (July 2023). Principal = MIN(Opening, Payment - Interest)</t>
      </text>
    </comment>
    <comment ref="F444" authorId="0" shapeId="0">
      <text>
        <t>Loan: BMO, 6 T680 Sleepers (July 2023). Closing = Opening - Principal</t>
      </text>
    </comment>
    <comment ref="C445" authorId="0" shapeId="0">
      <text>
        <t>Loan: BMO, 6 T680 Sleepers (July 2023). Source: Meiborg_Debt_Schedule_202511.xlsx</t>
      </text>
    </comment>
    <comment ref="D445" authorId="0" shapeId="0">
      <text>
        <t>Loan: BMO, 6 T680 Sleepers (July 2023). Interest = Opening * 6.68% / 12</t>
      </text>
    </comment>
    <comment ref="E445" authorId="0" shapeId="0">
      <text>
        <t>Loan: BMO, 6 T680 Sleepers (July 2023). Principal = MIN(Opening, Payment - Interest)</t>
      </text>
    </comment>
    <comment ref="F445" authorId="0" shapeId="0">
      <text>
        <t>Loan: BMO, 6 T680 Sleepers (July 2023). Closing = Opening - Principal</t>
      </text>
    </comment>
    <comment ref="C446" authorId="0" shapeId="0">
      <text>
        <t>Loan: BMO, 6 T680 Sleepers (July 2023). Source: Meiborg_Debt_Schedule_202511.xlsx</t>
      </text>
    </comment>
    <comment ref="D446" authorId="0" shapeId="0">
      <text>
        <t>Loan: BMO, 6 T680 Sleepers (July 2023). Interest = Opening * 6.68% / 12</t>
      </text>
    </comment>
    <comment ref="E446" authorId="0" shapeId="0">
      <text>
        <t>Loan: BMO, 6 T680 Sleepers (July 2023). Principal = MIN(Opening, Payment - Interest)</t>
      </text>
    </comment>
    <comment ref="F446" authorId="0" shapeId="0">
      <text>
        <t>Loan: BMO, 6 T680 Sleepers (July 2023). Closing = Opening - Principal</t>
      </text>
    </comment>
    <comment ref="C447" authorId="0" shapeId="0">
      <text>
        <t>Loan: BMO, 6 T680 Sleepers (July 2023). Source: Meiborg_Debt_Schedule_202511.xlsx</t>
      </text>
    </comment>
    <comment ref="D447" authorId="0" shapeId="0">
      <text>
        <t>Loan: BMO, 6 T680 Sleepers (July 2023). Interest = Opening * 6.68% / 12</t>
      </text>
    </comment>
    <comment ref="E447" authorId="0" shapeId="0">
      <text>
        <t>Loan: BMO, 6 T680 Sleepers (July 2023). Principal = MIN(Opening, Payment - Interest)</t>
      </text>
    </comment>
    <comment ref="F447" authorId="0" shapeId="0">
      <text>
        <t>Loan: BMO, 6 T680 Sleepers (July 2023). Closing = Opening - Principal</t>
      </text>
    </comment>
    <comment ref="C448" authorId="0" shapeId="0">
      <text>
        <t>Loan: BMO, 6 T680 Sleepers (July 2023). Source: Meiborg_Debt_Schedule_202511.xlsx</t>
      </text>
    </comment>
    <comment ref="D448" authorId="0" shapeId="0">
      <text>
        <t>Loan: BMO, 6 T680 Sleepers (July 2023). Interest = Opening * 6.68% / 12</t>
      </text>
    </comment>
    <comment ref="E448" authorId="0" shapeId="0">
      <text>
        <t>Loan: BMO, 6 T680 Sleepers (July 2023). Principal = MIN(Opening, Payment - Interest)</t>
      </text>
    </comment>
    <comment ref="F448" authorId="0" shapeId="0">
      <text>
        <t>Loan: BMO, 6 T680 Sleepers (July 2023). Closing = Opening - Principal</t>
      </text>
    </comment>
    <comment ref="C449" authorId="0" shapeId="0">
      <text>
        <t>Loan: BMO, 6 T680 Sleepers (July 2023). Source: Meiborg_Debt_Schedule_202511.xlsx</t>
      </text>
    </comment>
    <comment ref="D449" authorId="0" shapeId="0">
      <text>
        <t>Loan: BMO, 6 T680 Sleepers (July 2023). Interest = Opening * 6.68% / 12</t>
      </text>
    </comment>
    <comment ref="E449" authorId="0" shapeId="0">
      <text>
        <t>Loan: BMO, 6 T680 Sleepers (July 2023). Principal = MIN(Opening, Payment - Interest)</t>
      </text>
    </comment>
    <comment ref="F449" authorId="0" shapeId="0">
      <text>
        <t>Loan: BMO, 6 T680 Sleepers (July 2023). Closing = Opening - Principal</t>
      </text>
    </comment>
    <comment ref="C450" authorId="0" shapeId="0">
      <text>
        <t>Loan: BMO, 6 T680 Sleepers (July 2023). Source: Meiborg_Debt_Schedule_202511.xlsx</t>
      </text>
    </comment>
    <comment ref="D450" authorId="0" shapeId="0">
      <text>
        <t>Loan: BMO, 6 T680 Sleepers (July 2023). Interest = Opening * 6.68% / 12</t>
      </text>
    </comment>
    <comment ref="E450" authorId="0" shapeId="0">
      <text>
        <t>Loan: BMO, 6 T680 Sleepers (July 2023). Principal = MIN(Opening, Payment - Interest)</t>
      </text>
    </comment>
    <comment ref="F450" authorId="0" shapeId="0">
      <text>
        <t>Loan: BMO, 6 T680 Sleepers (July 2023). Closing = Opening - Principal</t>
      </text>
    </comment>
    <comment ref="C451" authorId="0" shapeId="0">
      <text>
        <t>Loan: BMO, 6 T680 Sleepers (July 2023). Source: Meiborg_Debt_Schedule_202511.xlsx</t>
      </text>
    </comment>
    <comment ref="D451" authorId="0" shapeId="0">
      <text>
        <t>Loan: BMO, 6 T680 Sleepers (July 2023). Interest = Opening * 6.68% / 12</t>
      </text>
    </comment>
    <comment ref="E451" authorId="0" shapeId="0">
      <text>
        <t>Loan: BMO, 6 T680 Sleepers (July 2023). Principal = MIN(Opening, Payment - Interest)</t>
      </text>
    </comment>
    <comment ref="F451" authorId="0" shapeId="0">
      <text>
        <t>Loan: BMO, 6 T680 Sleepers (July 2023). Closing = Opening - Principal</t>
      </text>
    </comment>
    <comment ref="C452" authorId="0" shapeId="0">
      <text>
        <t>Loan: BMO, 6 T680 Sleepers (July 2023). Source: Meiborg_Debt_Schedule_202511.xlsx</t>
      </text>
    </comment>
    <comment ref="D452" authorId="0" shapeId="0">
      <text>
        <t>Loan: BMO, 6 T680 Sleepers (July 2023). Interest = Opening * 6.68% / 12</t>
      </text>
    </comment>
    <comment ref="E452" authorId="0" shapeId="0">
      <text>
        <t>Loan: BMO, 6 T680 Sleepers (July 2023). Principal = MIN(Opening, Payment - Interest)</t>
      </text>
    </comment>
    <comment ref="F452" authorId="0" shapeId="0">
      <text>
        <t>Loan: BMO, 6 T680 Sleepers (July 2023). Closing = Opening - Principal</t>
      </text>
    </comment>
    <comment ref="C453" authorId="0" shapeId="0">
      <text>
        <t>Loan: BMO, 6 T680 Sleepers (July 2023). Source: Meiborg_Debt_Schedule_202511.xlsx</t>
      </text>
    </comment>
    <comment ref="D453" authorId="0" shapeId="0">
      <text>
        <t>Loan: BMO, 6 T680 Sleepers (July 2023). Interest = Opening * 6.68% / 12</t>
      </text>
    </comment>
    <comment ref="E453" authorId="0" shapeId="0">
      <text>
        <t>Loan: BMO, 6 T680 Sleepers (July 2023). Principal = MIN(Opening, Payment - Interest)</t>
      </text>
    </comment>
    <comment ref="F453" authorId="0" shapeId="0">
      <text>
        <t>Loan: BMO, 6 T680 Sleepers (July 2023). Closing = Opening - Principal</t>
      </text>
    </comment>
    <comment ref="C454" authorId="0" shapeId="0">
      <text>
        <t>Loan: BMO, 6 T680 Sleepers (July 2023). Source: Meiborg_Debt_Schedule_202511.xlsx</t>
      </text>
    </comment>
    <comment ref="D454" authorId="0" shapeId="0">
      <text>
        <t>Loan: BMO, 6 T680 Sleepers (July 2023). Interest = Opening * 6.68% / 12</t>
      </text>
    </comment>
    <comment ref="E454" authorId="0" shapeId="0">
      <text>
        <t>Loan: BMO, 6 T680 Sleepers (July 2023). Principal = MIN(Opening, Payment - Interest)</t>
      </text>
    </comment>
    <comment ref="F454" authorId="0" shapeId="0">
      <text>
        <t>Loan: BMO, 6 T680 Sleepers (July 2023). Closing = Opening - Principal</t>
      </text>
    </comment>
    <comment ref="C455" authorId="0" shapeId="0">
      <text>
        <t>Loan: BMO, 6 T680 Sleepers (July 2023). Source: Meiborg_Debt_Schedule_202511.xlsx</t>
      </text>
    </comment>
    <comment ref="D455" authorId="0" shapeId="0">
      <text>
        <t>Loan: BMO, 6 T680 Sleepers (July 2023). Interest = Opening * 6.68% / 12</t>
      </text>
    </comment>
    <comment ref="E455" authorId="0" shapeId="0">
      <text>
        <t>Loan: BMO, 6 T680 Sleepers (July 2023). Principal = MIN(Opening, Payment - Interest)</t>
      </text>
    </comment>
    <comment ref="F455" authorId="0" shapeId="0">
      <text>
        <t>Loan: BMO, 6 T680 Sleepers (July 2023). Closing = Opening - Principal</t>
      </text>
    </comment>
    <comment ref="C456" authorId="0" shapeId="0">
      <text>
        <t>Loan: BMO, 6 T680 Sleepers (July 2023). Source: Meiborg_Debt_Schedule_202511.xlsx</t>
      </text>
    </comment>
    <comment ref="D456" authorId="0" shapeId="0">
      <text>
        <t>Loan: BMO, 6 T680 Sleepers (July 2023). Interest = Opening * 6.68% / 12</t>
      </text>
    </comment>
    <comment ref="E456" authorId="0" shapeId="0">
      <text>
        <t>Loan: BMO, 6 T680 Sleepers (July 2023). Principal = MIN(Opening, Payment - Interest)</t>
      </text>
    </comment>
    <comment ref="F456" authorId="0" shapeId="0">
      <text>
        <t>Loan: BMO, 6 T680 Sleepers (July 2023). Closing = Opening - Principal</t>
      </text>
    </comment>
    <comment ref="C457" authorId="0" shapeId="0">
      <text>
        <t>Loan: BMO, 6 T680 Sleepers (July 2023). Source: Meiborg_Debt_Schedule_202511.xlsx</t>
      </text>
    </comment>
    <comment ref="D457" authorId="0" shapeId="0">
      <text>
        <t>Loan: BMO, 6 T680 Sleepers (July 2023). Interest = Opening * 6.68% / 12</t>
      </text>
    </comment>
    <comment ref="E457" authorId="0" shapeId="0">
      <text>
        <t>Loan: BMO, 6 T680 Sleepers (July 2023). Principal = MIN(Opening, Payment - Interest)</t>
      </text>
    </comment>
    <comment ref="F457" authorId="0" shapeId="0">
      <text>
        <t>Loan: BMO, 6 T680 Sleepers (July 2023). Closing = Opening - Principal</t>
      </text>
    </comment>
    <comment ref="C458" authorId="0" shapeId="0">
      <text>
        <t>Loan: BMO, 6 T680 Sleepers (July 2023). Source: Meiborg_Debt_Schedule_202511.xlsx</t>
      </text>
    </comment>
    <comment ref="D458" authorId="0" shapeId="0">
      <text>
        <t>Loan: BMO, 6 T680 Sleepers (July 2023). Interest = Opening * 6.68% / 12</t>
      </text>
    </comment>
    <comment ref="E458" authorId="0" shapeId="0">
      <text>
        <t>Loan: BMO, 6 T680 Sleepers (July 2023). Principal = MIN(Opening, Payment - Interest)</t>
      </text>
    </comment>
    <comment ref="F458" authorId="0" shapeId="0">
      <text>
        <t>Loan: BMO, 6 T680 Sleepers (July 2023). Closing = Opening - Principal</t>
      </text>
    </comment>
    <comment ref="C459" authorId="0" shapeId="0">
      <text>
        <t>Loan: BMO, 6 T680 Sleepers (July 2023). Source: Meiborg_Debt_Schedule_202511.xlsx</t>
      </text>
    </comment>
    <comment ref="D459" authorId="0" shapeId="0">
      <text>
        <t>Loan: BMO, 6 T680 Sleepers (July 2023). Interest = Opening * 6.68% / 12</t>
      </text>
    </comment>
    <comment ref="E459" authorId="0" shapeId="0">
      <text>
        <t>Loan: BMO, 6 T680 Sleepers (July 2023). Principal = MIN(Opening, Payment - Interest)</t>
      </text>
    </comment>
    <comment ref="F459" authorId="0" shapeId="0">
      <text>
        <t>Loan: BMO, 6 T680 Sleepers (July 2023). Closing = Opening - Principal</t>
      </text>
    </comment>
    <comment ref="C460" authorId="0" shapeId="0">
      <text>
        <t>Loan: BMO, 6 T680 Sleepers (July 2023). Source: Meiborg_Debt_Schedule_202511.xlsx</t>
      </text>
    </comment>
    <comment ref="D460" authorId="0" shapeId="0">
      <text>
        <t>Loan: BMO, 6 T680 Sleepers (July 2023). Interest = Opening * 6.68% / 12</t>
      </text>
    </comment>
    <comment ref="E460" authorId="0" shapeId="0">
      <text>
        <t>Loan: BMO, 6 T680 Sleepers (July 2023). Principal = MIN(Opening, Payment - Interest)</t>
      </text>
    </comment>
    <comment ref="F460" authorId="0" shapeId="0">
      <text>
        <t>Loan: BMO, 6 T680 Sleepers (July 2023). Closing = Opening - Principal</t>
      </text>
    </comment>
    <comment ref="C461" authorId="0" shapeId="0">
      <text>
        <t>Loan: BMO, 6 T680 Sleepers (July 2023). Source: Meiborg_Debt_Schedule_202511.xlsx</t>
      </text>
    </comment>
    <comment ref="D461" authorId="0" shapeId="0">
      <text>
        <t>Loan: BMO, 6 T680 Sleepers (July 2023). Interest = Opening * 6.68% / 12</t>
      </text>
    </comment>
    <comment ref="E461" authorId="0" shapeId="0">
      <text>
        <t>Loan: BMO, 6 T680 Sleepers (July 2023). Principal = MIN(Opening, Payment - Interest)</t>
      </text>
    </comment>
    <comment ref="F461" authorId="0" shapeId="0">
      <text>
        <t>Loan: BMO, 6 T680 Sleepers (July 2023). Closing = Opening - Principal</t>
      </text>
    </comment>
    <comment ref="C462" authorId="0" shapeId="0">
      <text>
        <t>Loan: BMO, 6 T680 Sleepers (July 2023). Source: Meiborg_Debt_Schedule_202511.xlsx</t>
      </text>
    </comment>
    <comment ref="D462" authorId="0" shapeId="0">
      <text>
        <t>Loan: BMO, 6 T680 Sleepers (July 2023). Interest = Opening * 6.68% / 12</t>
      </text>
    </comment>
    <comment ref="E462" authorId="0" shapeId="0">
      <text>
        <t>Loan: BMO, 6 T680 Sleepers (July 2023). Principal = MIN(Opening, Payment - Interest)</t>
      </text>
    </comment>
    <comment ref="F462" authorId="0" shapeId="0">
      <text>
        <t>Loan: BMO, 6 T680 Sleepers (July 2023). Closing = Opening - Principal</t>
      </text>
    </comment>
    <comment ref="C463" authorId="0" shapeId="0">
      <text>
        <t>Loan: BMO, 6 T680 Sleepers (July 2023). Source: Meiborg_Debt_Schedule_202511.xlsx</t>
      </text>
    </comment>
    <comment ref="D463" authorId="0" shapeId="0">
      <text>
        <t>Loan: BMO, 6 T680 Sleepers (July 2023). Interest = Opening * 6.68% / 12</t>
      </text>
    </comment>
    <comment ref="E463" authorId="0" shapeId="0">
      <text>
        <t>Loan: BMO, 6 T680 Sleepers (July 2023). Principal = MIN(Opening, Payment - Interest)</t>
      </text>
    </comment>
    <comment ref="F463" authorId="0" shapeId="0">
      <text>
        <t>Loan: BMO, 6 T680 Sleepers (July 2023). Closing = Opening - Principal</t>
      </text>
    </comment>
    <comment ref="C464" authorId="0" shapeId="0">
      <text>
        <t>Loan: BMO, 6 T680 Sleepers (July 2023). Source: Meiborg_Debt_Schedule_202511.xlsx</t>
      </text>
    </comment>
    <comment ref="D464" authorId="0" shapeId="0">
      <text>
        <t>Loan: BMO, 6 T680 Sleepers (July 2023). Interest = Opening * 6.68% / 12</t>
      </text>
    </comment>
    <comment ref="E464" authorId="0" shapeId="0">
      <text>
        <t>Loan: BMO, 6 T680 Sleepers (July 2023). Principal = MIN(Opening, Payment - Interest)</t>
      </text>
    </comment>
    <comment ref="F464" authorId="0" shapeId="0">
      <text>
        <t>Loan: BMO, 6 T680 Sleepers (July 2023). Closing = Opening - Principal</t>
      </text>
    </comment>
    <comment ref="C465" authorId="0" shapeId="0">
      <text>
        <t>Loan: BMO, 6 T680 Sleepers (July 2023). Source: Meiborg_Debt_Schedule_202511.xlsx</t>
      </text>
    </comment>
    <comment ref="D465" authorId="0" shapeId="0">
      <text>
        <t>Loan: BMO, 6 T680 Sleepers (July 2023). Interest = Opening * 6.68% / 12</t>
      </text>
    </comment>
    <comment ref="E465" authorId="0" shapeId="0">
      <text>
        <t>Loan: BMO, 6 T680 Sleepers (July 2023). Principal = MIN(Opening, Payment - Interest)</t>
      </text>
    </comment>
    <comment ref="F465" authorId="0" shapeId="0">
      <text>
        <t>Loan: BMO, 6 T680 Sleepers (July 2023). Closing = Opening - Principal</t>
      </text>
    </comment>
    <comment ref="C466" authorId="0" shapeId="0">
      <text>
        <t>Loan: BMO, 6 T680 Sleepers (July 2023). Source: Meiborg_Debt_Schedule_202511.xlsx</t>
      </text>
    </comment>
    <comment ref="D466" authorId="0" shapeId="0">
      <text>
        <t>Loan: BMO, 6 T680 Sleepers (July 2023). Interest = Opening * 6.68% / 12</t>
      </text>
    </comment>
    <comment ref="E466" authorId="0" shapeId="0">
      <text>
        <t>Loan: BMO, 6 T680 Sleepers (July 2023). Principal = MIN(Opening, Payment - Interest)</t>
      </text>
    </comment>
    <comment ref="F466" authorId="0" shapeId="0">
      <text>
        <t>Loan: BMO, 6 T680 Sleepers (July 2023). Closing = Opening - Principal</t>
      </text>
    </comment>
    <comment ref="C467" authorId="0" shapeId="0">
      <text>
        <t>Loan: BMO, 6 T680 Sleepers (July 2023). Source: Meiborg_Debt_Schedule_202511.xlsx</t>
      </text>
    </comment>
    <comment ref="D467" authorId="0" shapeId="0">
      <text>
        <t>Loan: BMO, 6 T680 Sleepers (July 2023). Interest = Opening * 6.68% / 12</t>
      </text>
    </comment>
    <comment ref="E467" authorId="0" shapeId="0">
      <text>
        <t>Loan: BMO, 6 T680 Sleepers (July 2023). Principal = MIN(Opening, Payment - Interest)</t>
      </text>
    </comment>
    <comment ref="F467" authorId="0" shapeId="0">
      <text>
        <t>Loan: BMO, 6 T680 Sleepers (July 2023). Closing = Opening - Principal</t>
      </text>
    </comment>
    <comment ref="C468" authorId="0" shapeId="0">
      <text>
        <t>Loan: BMO, 6 T680 Sleepers (July 2023). Source: Meiborg_Debt_Schedule_202511.xlsx</t>
      </text>
    </comment>
    <comment ref="D468" authorId="0" shapeId="0">
      <text>
        <t>Loan: BMO, 6 T680 Sleepers (July 2023). Interest = Opening * 6.68% / 12</t>
      </text>
    </comment>
    <comment ref="E468" authorId="0" shapeId="0">
      <text>
        <t>Loan: BMO, 6 T680 Sleepers (July 2023). Principal = MIN(Opening, Payment - Interest)</t>
      </text>
    </comment>
    <comment ref="F468" authorId="0" shapeId="0">
      <text>
        <t>Loan: BMO, 6 T680 Sleepers (July 2023). Closing = Opening - Principal</t>
      </text>
    </comment>
    <comment ref="C469" authorId="0" shapeId="0">
      <text>
        <t>Loan: BMO, 6 T680 Sleepers (July 2023). Source: Meiborg_Debt_Schedule_202511.xlsx</t>
      </text>
    </comment>
    <comment ref="D469" authorId="0" shapeId="0">
      <text>
        <t>Loan: BMO, 6 T680 Sleepers (July 2023). Interest = Opening * 6.68% / 12</t>
      </text>
    </comment>
    <comment ref="E469" authorId="0" shapeId="0">
      <text>
        <t>Loan: BMO, 6 T680 Sleepers (July 2023). Principal = MIN(Opening, Payment - Interest)</t>
      </text>
    </comment>
    <comment ref="F469" authorId="0" shapeId="0">
      <text>
        <t>Loan: BMO, 6 T680 Sleepers (July 2023). Closing = Opening - Principal</t>
      </text>
    </comment>
    <comment ref="C470" authorId="0" shapeId="0">
      <text>
        <t>Loan: BMO, 6 T680 Sleepers (July 2023). Source: Meiborg_Debt_Schedule_202511.xlsx</t>
      </text>
    </comment>
    <comment ref="D470" authorId="0" shapeId="0">
      <text>
        <t>Loan: BMO, 6 T680 Sleepers (July 2023). Interest = Opening * 6.68% / 12</t>
      </text>
    </comment>
    <comment ref="E470" authorId="0" shapeId="0">
      <text>
        <t>Loan: BMO, 6 T680 Sleepers (July 2023). Principal = MIN(Opening, Payment - Interest)</t>
      </text>
    </comment>
    <comment ref="F470" authorId="0" shapeId="0">
      <text>
        <t>Loan: BMO, 6 T680 Sleepers (July 2023). Closing = Opening - Principal</t>
      </text>
    </comment>
    <comment ref="C471" authorId="0" shapeId="0">
      <text>
        <t>Loan: BMO, 6 T680 Sleepers (July 2023). Source: Meiborg_Debt_Schedule_202511.xlsx</t>
      </text>
    </comment>
    <comment ref="D471" authorId="0" shapeId="0">
      <text>
        <t>Loan: BMO, 6 T680 Sleepers (July 2023). Interest = Opening * 6.68% / 12</t>
      </text>
    </comment>
    <comment ref="E471" authorId="0" shapeId="0">
      <text>
        <t>Loan: BMO, 6 T680 Sleepers (July 2023). Principal = MIN(Opening, Payment - Interest)</t>
      </text>
    </comment>
    <comment ref="F471" authorId="0" shapeId="0">
      <text>
        <t>Loan: BMO, 6 T680 Sleepers (July 2023). Closing = Opening - Principal</t>
      </text>
    </comment>
    <comment ref="C472" authorId="0" shapeId="0">
      <text>
        <t>Loan: BMO, 6 T680 Sleepers (July 2023). Source: Meiborg_Debt_Schedule_202511.xlsx</t>
      </text>
    </comment>
    <comment ref="D472" authorId="0" shapeId="0">
      <text>
        <t>Loan: BMO, 6 T680 Sleepers (July 2023). Interest = Opening * 6.68% / 12</t>
      </text>
    </comment>
    <comment ref="E472" authorId="0" shapeId="0">
      <text>
        <t>Loan: BMO, 6 T680 Sleepers (July 2023). Principal = MIN(Opening, Payment - Interest)</t>
      </text>
    </comment>
    <comment ref="F472" authorId="0" shapeId="0">
      <text>
        <t>Loan: BMO, 6 T680 Sleepers (July 2023). Closing = Opening - Principal</t>
      </text>
    </comment>
    <comment ref="C473" authorId="0" shapeId="0">
      <text>
        <t>Loan: BMO, 6 T680 Sleepers (July 2023). Source: Meiborg_Debt_Schedule_202511.xlsx</t>
      </text>
    </comment>
    <comment ref="D473" authorId="0" shapeId="0">
      <text>
        <t>Loan: BMO, 6 T680 Sleepers (July 2023). Interest = Opening * 6.68% / 12</t>
      </text>
    </comment>
    <comment ref="E473" authorId="0" shapeId="0">
      <text>
        <t>Loan: BMO, 6 T680 Sleepers (July 2023). Principal = MIN(Opening, Payment - Interest)</t>
      </text>
    </comment>
    <comment ref="F473" authorId="0" shapeId="0">
      <text>
        <t>Loan: BMO, 6 T680 Sleepers (July 2023). Closing = Opening - Principal</t>
      </text>
    </comment>
    <comment ref="C474" authorId="0" shapeId="0">
      <text>
        <t>Loan: BMO, 6 T680 Sleepers (July 2023). Source: Meiborg_Debt_Schedule_202511.xlsx</t>
      </text>
    </comment>
    <comment ref="D474" authorId="0" shapeId="0">
      <text>
        <t>Loan: BMO, 6 T680 Sleepers (July 2023). Interest = Opening * 6.68% / 12</t>
      </text>
    </comment>
    <comment ref="E474" authorId="0" shapeId="0">
      <text>
        <t>Loan: BMO, 6 T680 Sleepers (July 2023). Principal = MIN(Opening, Payment - Interest)</t>
      </text>
    </comment>
    <comment ref="F474" authorId="0" shapeId="0">
      <text>
        <t>Loan: BMO, 6 T680 Sleepers (July 2023). Closing = Opening - Principal</t>
      </text>
    </comment>
    <comment ref="C475" authorId="0" shapeId="0">
      <text>
        <t>Loan: BMO, 6 T680 Sleepers (July 2023). Source: Meiborg_Debt_Schedule_202511.xlsx</t>
      </text>
    </comment>
    <comment ref="D475" authorId="0" shapeId="0">
      <text>
        <t>Loan: BMO, 6 T680 Sleepers (July 2023). Interest = Opening * 6.68% / 12</t>
      </text>
    </comment>
    <comment ref="E475" authorId="0" shapeId="0">
      <text>
        <t>Loan: BMO, 6 T680 Sleepers (July 2023). Principal = MIN(Opening, Payment - Interest)</t>
      </text>
    </comment>
    <comment ref="F475" authorId="0" shapeId="0">
      <text>
        <t>Loan: BMO, 6 T680 Sleepers (July 2023). Closing = Opening - Principal</t>
      </text>
    </comment>
    <comment ref="C476" authorId="0" shapeId="0">
      <text>
        <t>Loan: BMO, 6 T680 Sleepers (July 2023). Source: Meiborg_Debt_Schedule_202511.xlsx</t>
      </text>
    </comment>
    <comment ref="D476" authorId="0" shapeId="0">
      <text>
        <t>Loan: BMO, 6 T680 Sleepers (July 2023). Interest = Opening * 6.68% / 12</t>
      </text>
    </comment>
    <comment ref="E476" authorId="0" shapeId="0">
      <text>
        <t>Loan: BMO, 6 T680 Sleepers (July 2023). Principal = MIN(Opening, Payment - Interest)</t>
      </text>
    </comment>
    <comment ref="F476" authorId="0" shapeId="0">
      <text>
        <t>Loan: BMO, 6 T680 Sleepers (July 2023). Closing = Opening - Principal</t>
      </text>
    </comment>
    <comment ref="D477" authorId="0" shapeId="0">
      <text>
        <t>Sum of rows 438-476: Total interest over remaining term</t>
      </text>
    </comment>
    <comment ref="E477" authorId="0" shapeId="0">
      <text>
        <t>Sum of rows 438-476: Total principal over remaining term</t>
      </text>
    </comment>
  </commentList>
</comments>
</file>

<file path=xl/comments/comment9.xml><?xml version="1.0" encoding="utf-8"?>
<comments xmlns="http://schemas.openxmlformats.org/spreadsheetml/2006/main">
  <authors>
    <author>Model Builder</author>
  </authors>
  <commentList>
    <comment ref="A1" authorId="0" shapeId="0">
      <text>
        <t>Hidden sheet consolidating smaller equipment lenders (1-2 loans each).
Source: Meiborg_Debt_Schedule_202511.xlsx</t>
      </text>
    </comment>
    <comment ref="E13" authorId="0" shapeId="0">
      <text>
        <t>Sum of rows 5-12: Total balance for all misc equipment loans.
Expected: $3,358,483</t>
      </text>
    </comment>
    <comment ref="C33" authorId="0" shapeId="0">
      <text>
        <t>Loan: Ascentium Capital, AMORTIZING.
Source: Meiborg_Debt_Schedule_202511.xlsx</t>
      </text>
    </comment>
    <comment ref="C35" authorId="0" shapeId="0">
      <text>
        <t>Rate as stated in source document.</t>
      </text>
    </comment>
    <comment ref="D43" authorId="0" shapeId="0">
      <text>
        <t>Starting balance as of Nov 2025.
Source: Meiborg_Debt_Schedule_202511.xlsx</t>
      </text>
    </comment>
    <comment ref="E43" authorId="0" shapeId="0">
      <text>
        <t>Interest = MAX(0, Opening * 8.35%/12)</t>
      </text>
    </comment>
    <comment ref="F43" authorId="0" shapeId="0">
      <text>
        <t>Principal = MAX(0, MIN(Opening, $5,089.58 - Interest))</t>
      </text>
    </comment>
    <comment ref="G43" authorId="0" shapeId="0">
      <text>
        <t>Closing = MAX(0, Opening - Principal)</t>
      </text>
    </comment>
    <comment ref="E44" authorId="0" shapeId="0">
      <text>
        <t>Interest = MAX(0, Opening * 8.35%/12)</t>
      </text>
    </comment>
    <comment ref="F44" authorId="0" shapeId="0">
      <text>
        <t>Principal = MAX(0, MIN(Opening, $5,089.58 - Interest))</t>
      </text>
    </comment>
    <comment ref="G44" authorId="0" shapeId="0">
      <text>
        <t>Closing = MAX(0, Opening - Principal)</t>
      </text>
    </comment>
    <comment ref="E45" authorId="0" shapeId="0">
      <text>
        <t>Interest = MAX(0, Opening * 8.35%/12)</t>
      </text>
    </comment>
    <comment ref="F45" authorId="0" shapeId="0">
      <text>
        <t>Principal = MAX(0, MIN(Opening, $5,089.58 - Interest))</t>
      </text>
    </comment>
    <comment ref="G45" authorId="0" shapeId="0">
      <text>
        <t>Closing = MAX(0, Opening - Principal)</t>
      </text>
    </comment>
    <comment ref="E46" authorId="0" shapeId="0">
      <text>
        <t>Interest = MAX(0, Opening * 8.35%/12)</t>
      </text>
    </comment>
    <comment ref="F46" authorId="0" shapeId="0">
      <text>
        <t>Principal = MAX(0, MIN(Opening, $5,089.58 - Interest))</t>
      </text>
    </comment>
    <comment ref="G46" authorId="0" shapeId="0">
      <text>
        <t>Closing = MAX(0, Opening - Principal)</t>
      </text>
    </comment>
    <comment ref="E47" authorId="0" shapeId="0">
      <text>
        <t>Interest = MAX(0, Opening * 8.35%/12)</t>
      </text>
    </comment>
    <comment ref="F47" authorId="0" shapeId="0">
      <text>
        <t>Principal = MAX(0, MIN(Opening, $5,089.58 - Interest))</t>
      </text>
    </comment>
    <comment ref="G47" authorId="0" shapeId="0">
      <text>
        <t>Closing = MAX(0, Opening - Principal)</t>
      </text>
    </comment>
    <comment ref="E48" authorId="0" shapeId="0">
      <text>
        <t>Interest = MAX(0, Opening * 8.35%/12)</t>
      </text>
    </comment>
    <comment ref="F48" authorId="0" shapeId="0">
      <text>
        <t>Principal = MAX(0, MIN(Opening, $5,089.58 - Interest))</t>
      </text>
    </comment>
    <comment ref="G48" authorId="0" shapeId="0">
      <text>
        <t>Closing = MAX(0, Opening - Principal)</t>
      </text>
    </comment>
    <comment ref="E49" authorId="0" shapeId="0">
      <text>
        <t>Interest = MAX(0, Opening * 8.35%/12)</t>
      </text>
    </comment>
    <comment ref="F49" authorId="0" shapeId="0">
      <text>
        <t>Principal = MAX(0, MIN(Opening, $5,089.58 - Interest))</t>
      </text>
    </comment>
    <comment ref="G49" authorId="0" shapeId="0">
      <text>
        <t>Closing = MAX(0, Opening - Principal)</t>
      </text>
    </comment>
    <comment ref="E50" authorId="0" shapeId="0">
      <text>
        <t>Interest = MAX(0, Opening * 8.35%/12)</t>
      </text>
    </comment>
    <comment ref="F50" authorId="0" shapeId="0">
      <text>
        <t>Principal = MAX(0, MIN(Opening, $5,089.58 - Interest))</t>
      </text>
    </comment>
    <comment ref="G50" authorId="0" shapeId="0">
      <text>
        <t>Closing = MAX(0, Opening - Principal)</t>
      </text>
    </comment>
    <comment ref="E51" authorId="0" shapeId="0">
      <text>
        <t>Interest = MAX(0, Opening * 8.35%/12)</t>
      </text>
    </comment>
    <comment ref="F51" authorId="0" shapeId="0">
      <text>
        <t>Principal = MAX(0, MIN(Opening, $5,089.58 - Interest))</t>
      </text>
    </comment>
    <comment ref="G51" authorId="0" shapeId="0">
      <text>
        <t>Closing = MAX(0, Opening - Principal)</t>
      </text>
    </comment>
    <comment ref="E52" authorId="0" shapeId="0">
      <text>
        <t>Interest = MAX(0, Opening * 8.35%/12)</t>
      </text>
    </comment>
    <comment ref="F52" authorId="0" shapeId="0">
      <text>
        <t>Principal = MAX(0, MIN(Opening, $5,089.58 - Interest))</t>
      </text>
    </comment>
    <comment ref="G52" authorId="0" shapeId="0">
      <text>
        <t>Closing = MAX(0, Opening - Principal)</t>
      </text>
    </comment>
    <comment ref="E53" authorId="0" shapeId="0">
      <text>
        <t>Interest = MAX(0, Opening * 8.35%/12)</t>
      </text>
    </comment>
    <comment ref="F53" authorId="0" shapeId="0">
      <text>
        <t>Principal = MAX(0, MIN(Opening, $5,089.58 - Interest))</t>
      </text>
    </comment>
    <comment ref="G53" authorId="0" shapeId="0">
      <text>
        <t>Closing = MAX(0, Opening - Principal)</t>
      </text>
    </comment>
    <comment ref="E54" authorId="0" shapeId="0">
      <text>
        <t>Interest = MAX(0, Opening * 8.35%/12)</t>
      </text>
    </comment>
    <comment ref="F54" authorId="0" shapeId="0">
      <text>
        <t>Principal = MAX(0, MIN(Opening, $5,089.58 - Interest))</t>
      </text>
    </comment>
    <comment ref="G54" authorId="0" shapeId="0">
      <text>
        <t>Closing = MAX(0, Opening - Principal)</t>
      </text>
    </comment>
    <comment ref="E55" authorId="0" shapeId="0">
      <text>
        <t>Interest = MAX(0, Opening * 8.35%/12)</t>
      </text>
    </comment>
    <comment ref="F55" authorId="0" shapeId="0">
      <text>
        <t>Principal = MAX(0, MIN(Opening, $5,089.58 - Interest))</t>
      </text>
    </comment>
    <comment ref="G55" authorId="0" shapeId="0">
      <text>
        <t>Closing = MAX(0, Opening - Principal)</t>
      </text>
    </comment>
    <comment ref="E56" authorId="0" shapeId="0">
      <text>
        <t>Interest = MAX(0, Opening * 8.35%/12)</t>
      </text>
    </comment>
    <comment ref="F56" authorId="0" shapeId="0">
      <text>
        <t>Principal = MAX(0, MIN(Opening, $5,089.58 - Interest))</t>
      </text>
    </comment>
    <comment ref="G56" authorId="0" shapeId="0">
      <text>
        <t>Closing = MAX(0, Opening - Principal)</t>
      </text>
    </comment>
    <comment ref="E57" authorId="0" shapeId="0">
      <text>
        <t>Interest = MAX(0, Opening * 8.35%/12)</t>
      </text>
    </comment>
    <comment ref="F57" authorId="0" shapeId="0">
      <text>
        <t>Principal = MAX(0, MIN(Opening, $5,089.58 - Interest))</t>
      </text>
    </comment>
    <comment ref="G57" authorId="0" shapeId="0">
      <text>
        <t>Closing = MAX(0, Opening - Principal)</t>
      </text>
    </comment>
    <comment ref="E58" authorId="0" shapeId="0">
      <text>
        <t>Interest = MAX(0, Opening * 8.35%/12)</t>
      </text>
    </comment>
    <comment ref="F58" authorId="0" shapeId="0">
      <text>
        <t>Principal = MAX(0, MIN(Opening, $5,089.58 - Interest))</t>
      </text>
    </comment>
    <comment ref="G58" authorId="0" shapeId="0">
      <text>
        <t>Closing = MAX(0, Opening - Principal)</t>
      </text>
    </comment>
    <comment ref="E59" authorId="0" shapeId="0">
      <text>
        <t>Interest = MAX(0, Opening * 8.35%/12)</t>
      </text>
    </comment>
    <comment ref="F59" authorId="0" shapeId="0">
      <text>
        <t>Principal = MAX(0, MIN(Opening, $5,089.58 - Interest))</t>
      </text>
    </comment>
    <comment ref="G59" authorId="0" shapeId="0">
      <text>
        <t>Closing = MAX(0, Opening - Principal)</t>
      </text>
    </comment>
    <comment ref="E60" authorId="0" shapeId="0">
      <text>
        <t>Interest = MAX(0, Opening * 8.35%/12)</t>
      </text>
    </comment>
    <comment ref="F60" authorId="0" shapeId="0">
      <text>
        <t>Principal = MAX(0, MIN(Opening, $5,089.58 - Interest))</t>
      </text>
    </comment>
    <comment ref="G60" authorId="0" shapeId="0">
      <text>
        <t>Closing = MAX(0, Opening - Principal)</t>
      </text>
    </comment>
    <comment ref="E61" authorId="0" shapeId="0">
      <text>
        <t>Interest = MAX(0, Opening * 8.35%/12)</t>
      </text>
    </comment>
    <comment ref="F61" authorId="0" shapeId="0">
      <text>
        <t>Principal = MAX(0, MIN(Opening, $5,089.58 - Interest))</t>
      </text>
    </comment>
    <comment ref="G61" authorId="0" shapeId="0">
      <text>
        <t>Closing = MAX(0, Opening - Principal)</t>
      </text>
    </comment>
    <comment ref="E62" authorId="0" shapeId="0">
      <text>
        <t>Interest = MAX(0, Opening * 8.35%/12)</t>
      </text>
    </comment>
    <comment ref="F62" authorId="0" shapeId="0">
      <text>
        <t>Principal = MAX(0, MIN(Opening, $5,089.58 - Interest))</t>
      </text>
    </comment>
    <comment ref="G62" authorId="0" shapeId="0">
      <text>
        <t>Closing = MAX(0, Opening - Principal)</t>
      </text>
    </comment>
    <comment ref="E63" authorId="0" shapeId="0">
      <text>
        <t>Interest = MAX(0, Opening * 8.35%/12)</t>
      </text>
    </comment>
    <comment ref="F63" authorId="0" shapeId="0">
      <text>
        <t>Principal = MAX(0, MIN(Opening, $5,089.58 - Interest))</t>
      </text>
    </comment>
    <comment ref="G63" authorId="0" shapeId="0">
      <text>
        <t>Closing = MAX(0, Opening - Principal)</t>
      </text>
    </comment>
    <comment ref="E64" authorId="0" shapeId="0">
      <text>
        <t>Interest = MAX(0, Opening * 8.35%/12)</t>
      </text>
    </comment>
    <comment ref="F64" authorId="0" shapeId="0">
      <text>
        <t>Principal = MAX(0, MIN(Opening, $5,089.58 - Interest))</t>
      </text>
    </comment>
    <comment ref="G64" authorId="0" shapeId="0">
      <text>
        <t>Closing = MAX(0, Opening - Principal)</t>
      </text>
    </comment>
    <comment ref="E65" authorId="0" shapeId="0">
      <text>
        <t>Interest = MAX(0, Opening * 8.35%/12)</t>
      </text>
    </comment>
    <comment ref="F65" authorId="0" shapeId="0">
      <text>
        <t>Principal = MAX(0, MIN(Opening, $5,089.58 - Interest))</t>
      </text>
    </comment>
    <comment ref="G65" authorId="0" shapeId="0">
      <text>
        <t>Closing = MAX(0, Opening - Principal)</t>
      </text>
    </comment>
    <comment ref="E66" authorId="0" shapeId="0">
      <text>
        <t>Interest = MAX(0, Opening * 8.35%/12)</t>
      </text>
    </comment>
    <comment ref="F66" authorId="0" shapeId="0">
      <text>
        <t>Principal = MAX(0, MIN(Opening, $5,089.58 - Interest))</t>
      </text>
    </comment>
    <comment ref="G66" authorId="0" shapeId="0">
      <text>
        <t>Closing = MAX(0, Opening - Principal)</t>
      </text>
    </comment>
    <comment ref="E67" authorId="0" shapeId="0">
      <text>
        <t>Interest = MAX(0, Opening * 8.35%/12)</t>
      </text>
    </comment>
    <comment ref="F67" authorId="0" shapeId="0">
      <text>
        <t>Principal = MAX(0, MIN(Opening, $5,089.58 - Interest))</t>
      </text>
    </comment>
    <comment ref="G67" authorId="0" shapeId="0">
      <text>
        <t>Closing = MAX(0, Opening - Principal)</t>
      </text>
    </comment>
    <comment ref="E68" authorId="0" shapeId="0">
      <text>
        <t>Interest = MAX(0, Opening * 8.35%/12)</t>
      </text>
    </comment>
    <comment ref="F68" authorId="0" shapeId="0">
      <text>
        <t>Principal = MAX(0, MIN(Opening, $5,089.58 - Interest))</t>
      </text>
    </comment>
    <comment ref="G68" authorId="0" shapeId="0">
      <text>
        <t>Closing = MAX(0, Opening - Principal)</t>
      </text>
    </comment>
    <comment ref="E69" authorId="0" shapeId="0">
      <text>
        <t>Interest = MAX(0, Opening * 8.35%/12)</t>
      </text>
    </comment>
    <comment ref="F69" authorId="0" shapeId="0">
      <text>
        <t>Principal = MAX(0, MIN(Opening, $5,089.58 - Interest))</t>
      </text>
    </comment>
    <comment ref="G69" authorId="0" shapeId="0">
      <text>
        <t>Closing = MAX(0, Opening - Principal)</t>
      </text>
    </comment>
    <comment ref="E70" authorId="0" shapeId="0">
      <text>
        <t>Interest = MAX(0, Opening * 8.35%/12)</t>
      </text>
    </comment>
    <comment ref="F70" authorId="0" shapeId="0">
      <text>
        <t>Principal = MAX(0, MIN(Opening, $5,089.58 - Interest))</t>
      </text>
    </comment>
    <comment ref="G70" authorId="0" shapeId="0">
      <text>
        <t>Closing = MAX(0, Opening - Principal)</t>
      </text>
    </comment>
    <comment ref="E71" authorId="0" shapeId="0">
      <text>
        <t>Interest = MAX(0, Opening * 8.35%/12)</t>
      </text>
    </comment>
    <comment ref="F71" authorId="0" shapeId="0">
      <text>
        <t>Principal = MAX(0, MIN(Opening, $5,089.58 - Interest))</t>
      </text>
    </comment>
    <comment ref="G71" authorId="0" shapeId="0">
      <text>
        <t>Closing = MAX(0, Opening - Principal)</t>
      </text>
    </comment>
    <comment ref="E72" authorId="0" shapeId="0">
      <text>
        <t>Interest = MAX(0, Opening * 8.35%/12)</t>
      </text>
    </comment>
    <comment ref="F72" authorId="0" shapeId="0">
      <text>
        <t>Principal = MAX(0, MIN(Opening, $5,089.58 - Interest))</t>
      </text>
    </comment>
    <comment ref="G72" authorId="0" shapeId="0">
      <text>
        <t>Closing = MAX(0, Opening - Principal)</t>
      </text>
    </comment>
    <comment ref="E73" authorId="0" shapeId="0">
      <text>
        <t>Interest = MAX(0, Opening * 8.35%/12)</t>
      </text>
    </comment>
    <comment ref="F73" authorId="0" shapeId="0">
      <text>
        <t>Principal = MAX(0, MIN(Opening, $5,089.58 - Interest))</t>
      </text>
    </comment>
    <comment ref="G73" authorId="0" shapeId="0">
      <text>
        <t>Closing = MAX(0, Opening - Principal)</t>
      </text>
    </comment>
    <comment ref="E74" authorId="0" shapeId="0">
      <text>
        <t>Interest = MAX(0, Opening * 8.35%/12)</t>
      </text>
    </comment>
    <comment ref="F74" authorId="0" shapeId="0">
      <text>
        <t>Principal = MAX(0, MIN(Opening, $5,089.58 - Interest))</t>
      </text>
    </comment>
    <comment ref="G74" authorId="0" shapeId="0">
      <text>
        <t>Closing = MAX(0, Opening - Principal)</t>
      </text>
    </comment>
    <comment ref="E75" authorId="0" shapeId="0">
      <text>
        <t>Interest = MAX(0, Opening * 8.35%/12)</t>
      </text>
    </comment>
    <comment ref="F75" authorId="0" shapeId="0">
      <text>
        <t>Principal = MAX(0, MIN(Opening, $5,089.58 - Interest))</t>
      </text>
    </comment>
    <comment ref="G75" authorId="0" shapeId="0">
      <text>
        <t>Closing = MAX(0, Opening - Principal)</t>
      </text>
    </comment>
    <comment ref="E76" authorId="0" shapeId="0">
      <text>
        <t>Interest = MAX(0, Opening * 8.35%/12)</t>
      </text>
    </comment>
    <comment ref="F76" authorId="0" shapeId="0">
      <text>
        <t>Principal = MAX(0, MIN(Opening, $5,089.58 - Interest))</t>
      </text>
    </comment>
    <comment ref="G76" authorId="0" shapeId="0">
      <text>
        <t>Closing = MAX(0, Opening - Principal)</t>
      </text>
    </comment>
    <comment ref="E77" authorId="0" shapeId="0">
      <text>
        <t>Interest = MAX(0, Opening * 8.35%/12)</t>
      </text>
    </comment>
    <comment ref="F77" authorId="0" shapeId="0">
      <text>
        <t>Principal = MAX(0, MIN(Opening, $5,089.58 - Interest))</t>
      </text>
    </comment>
    <comment ref="G77" authorId="0" shapeId="0">
      <text>
        <t>Closing = MAX(0, Opening - Principal)</t>
      </text>
    </comment>
    <comment ref="E78" authorId="0" shapeId="0">
      <text>
        <t>Interest = MAX(0, Opening * 8.35%/12)</t>
      </text>
    </comment>
    <comment ref="F78" authorId="0" shapeId="0">
      <text>
        <t>Principal = MAX(0, MIN(Opening, $5,089.58 - Interest))</t>
      </text>
    </comment>
    <comment ref="G78" authorId="0" shapeId="0">
      <text>
        <t>Closing = MAX(0, Opening - Principal)</t>
      </text>
    </comment>
    <comment ref="E79" authorId="0" shapeId="0">
      <text>
        <t>Interest = MAX(0, Opening * 8.35%/12)</t>
      </text>
    </comment>
    <comment ref="F79" authorId="0" shapeId="0">
      <text>
        <t>Principal = MAX(0, MIN(Opening, $5,089.58 - Interest))</t>
      </text>
    </comment>
    <comment ref="G79" authorId="0" shapeId="0">
      <text>
        <t>Closing = MAX(0, Opening - Principal)</t>
      </text>
    </comment>
    <comment ref="E80" authorId="0" shapeId="0">
      <text>
        <t>Interest = MAX(0, Opening * 8.35%/12)</t>
      </text>
    </comment>
    <comment ref="F80" authorId="0" shapeId="0">
      <text>
        <t>Principal = MAX(0, MIN(Opening, $5,089.58 - Interest))</t>
      </text>
    </comment>
    <comment ref="G80" authorId="0" shapeId="0">
      <text>
        <t>Closing = MAX(0, Opening - Principal)</t>
      </text>
    </comment>
    <comment ref="E81" authorId="0" shapeId="0">
      <text>
        <t>Interest = MAX(0, Opening * 8.35%/12)</t>
      </text>
    </comment>
    <comment ref="F81" authorId="0" shapeId="0">
      <text>
        <t>Principal = MAX(0, MIN(Opening, $5,089.58 - Interest))</t>
      </text>
    </comment>
    <comment ref="G81" authorId="0" shapeId="0">
      <text>
        <t>Closing = MAX(0, Opening - Principal)</t>
      </text>
    </comment>
    <comment ref="E82" authorId="0" shapeId="0">
      <text>
        <t>Interest = MAX(0, Opening * 8.35%/12)</t>
      </text>
    </comment>
    <comment ref="F82" authorId="0" shapeId="0">
      <text>
        <t>Principal = MAX(0, MIN(Opening, $5,089.58 - Interest))</t>
      </text>
    </comment>
    <comment ref="G82" authorId="0" shapeId="0">
      <text>
        <t>Closing = MAX(0, Opening - Principal)</t>
      </text>
    </comment>
    <comment ref="E83" authorId="0" shapeId="0">
      <text>
        <t>Interest = MAX(0, Opening * 8.35%/12)</t>
      </text>
    </comment>
    <comment ref="F83" authorId="0" shapeId="0">
      <text>
        <t>Principal = MAX(0, MIN(Opening, $5,089.58 - Interest))</t>
      </text>
    </comment>
    <comment ref="G83" authorId="0" shapeId="0">
      <text>
        <t>Closing = MAX(0, Opening - Principal)</t>
      </text>
    </comment>
    <comment ref="E84" authorId="0" shapeId="0">
      <text>
        <t>Interest = MAX(0, Opening * 8.35%/12)</t>
      </text>
    </comment>
    <comment ref="F84" authorId="0" shapeId="0">
      <text>
        <t>Principal = MAX(0, MIN(Opening, $5,089.58 - Interest))</t>
      </text>
    </comment>
    <comment ref="G84" authorId="0" shapeId="0">
      <text>
        <t>Closing = MAX(0, Opening - Principal)</t>
      </text>
    </comment>
    <comment ref="E85" authorId="0" shapeId="0">
      <text>
        <t>Interest = MAX(0, Opening * 8.35%/12)</t>
      </text>
    </comment>
    <comment ref="F85" authorId="0" shapeId="0">
      <text>
        <t>Principal = MAX(0, MIN(Opening, $5,089.58 - Interest))</t>
      </text>
    </comment>
    <comment ref="G85" authorId="0" shapeId="0">
      <text>
        <t>Closing = MAX(0, Opening - Principal)</t>
      </text>
    </comment>
    <comment ref="E86" authorId="0" shapeId="0">
      <text>
        <t>Interest = MAX(0, Opening * 8.35%/12)</t>
      </text>
    </comment>
    <comment ref="F86" authorId="0" shapeId="0">
      <text>
        <t>Principal = MAX(0, MIN(Opening, $5,089.58 - Interest))</t>
      </text>
    </comment>
    <comment ref="G86" authorId="0" shapeId="0">
      <text>
        <t>Closing = MAX(0, Opening - Principal)</t>
      </text>
    </comment>
    <comment ref="E87" authorId="0" shapeId="0">
      <text>
        <t>Interest = MAX(0, Opening * 8.35%/12)</t>
      </text>
    </comment>
    <comment ref="F87" authorId="0" shapeId="0">
      <text>
        <t>Principal = MAX(0, MIN(Opening, $5,089.58 - Interest))</t>
      </text>
    </comment>
    <comment ref="G87" authorId="0" shapeId="0">
      <text>
        <t>Closing = MAX(0, Opening - Principal)</t>
      </text>
    </comment>
    <comment ref="E88" authorId="0" shapeId="0">
      <text>
        <t>Interest = MAX(0, Opening * 8.35%/12)</t>
      </text>
    </comment>
    <comment ref="F88" authorId="0" shapeId="0">
      <text>
        <t>Principal = MAX(0, MIN(Opening, $5,089.58 - Interest))</t>
      </text>
    </comment>
    <comment ref="G88" authorId="0" shapeId="0">
      <text>
        <t>Closing = MAX(0, Opening - Principal)</t>
      </text>
    </comment>
    <comment ref="E89" authorId="0" shapeId="0">
      <text>
        <t>Interest = MAX(0, Opening * 8.35%/12)</t>
      </text>
    </comment>
    <comment ref="F89" authorId="0" shapeId="0">
      <text>
        <t>Principal = MAX(0, MIN(Opening, $5,089.58 - Interest))</t>
      </text>
    </comment>
    <comment ref="G89" authorId="0" shapeId="0">
      <text>
        <t>Closing = MAX(0, Opening - Principal)</t>
      </text>
    </comment>
    <comment ref="E90" authorId="0" shapeId="0">
      <text>
        <t>Interest = MAX(0, Opening * 8.35%/12)</t>
      </text>
    </comment>
    <comment ref="F90" authorId="0" shapeId="0">
      <text>
        <t>Principal = MAX(0, MIN(Opening, $5,089.58 - Interest))</t>
      </text>
    </comment>
    <comment ref="G90" authorId="0" shapeId="0">
      <text>
        <t>Closing = MAX(0, Opening - Principal)</t>
      </text>
    </comment>
    <comment ref="E91" authorId="0" shapeId="0">
      <text>
        <t>Interest = MAX(0, Opening * 8.35%/12)</t>
      </text>
    </comment>
    <comment ref="F91" authorId="0" shapeId="0">
      <text>
        <t>Principal = MAX(0, MIN(Opening, $5,089.58 - Interest))</t>
      </text>
    </comment>
    <comment ref="G91" authorId="0" shapeId="0">
      <text>
        <t>Closing = MAX(0, Opening - Principal)</t>
      </text>
    </comment>
    <comment ref="E92" authorId="0" shapeId="0">
      <text>
        <t>Interest = MAX(0, Opening * 8.35%/12)</t>
      </text>
    </comment>
    <comment ref="F92" authorId="0" shapeId="0">
      <text>
        <t>Principal = MAX(0, MIN(Opening, $5,089.58 - Interest))</t>
      </text>
    </comment>
    <comment ref="G92" authorId="0" shapeId="0">
      <text>
        <t>Closing = MAX(0, Opening - Principal)</t>
      </text>
    </comment>
    <comment ref="E93" authorId="0" shapeId="0">
      <text>
        <t>Interest = MAX(0, Opening * 8.35%/12)</t>
      </text>
    </comment>
    <comment ref="F93" authorId="0" shapeId="0">
      <text>
        <t>Principal = MAX(0, MIN(Opening, $5,089.58 - Interest))</t>
      </text>
    </comment>
    <comment ref="G93" authorId="0" shapeId="0">
      <text>
        <t>Closing = MAX(0, Opening - Principal)</t>
      </text>
    </comment>
    <comment ref="E94" authorId="0" shapeId="0">
      <text>
        <t>Interest = MAX(0, Opening * 8.35%/12)</t>
      </text>
    </comment>
    <comment ref="F94" authorId="0" shapeId="0">
      <text>
        <t>Principal = MAX(0, MIN(Opening, $5,089.58 - Interest))</t>
      </text>
    </comment>
    <comment ref="G94" authorId="0" shapeId="0">
      <text>
        <t>Closing = MAX(0, Opening - Principal)</t>
      </text>
    </comment>
    <comment ref="E95" authorId="0" shapeId="0">
      <text>
        <t>Interest = MAX(0, Opening * 8.35%/12)</t>
      </text>
    </comment>
    <comment ref="F95" authorId="0" shapeId="0">
      <text>
        <t>Principal = MAX(0, MIN(Opening, $5,089.58 - Interest))</t>
      </text>
    </comment>
    <comment ref="G95" authorId="0" shapeId="0">
      <text>
        <t>Closing = MAX(0, Opening - Principal)</t>
      </text>
    </comment>
    <comment ref="E96" authorId="0" shapeId="0">
      <text>
        <t>Interest = MAX(0, Opening * 8.35%/12)</t>
      </text>
    </comment>
    <comment ref="F96" authorId="0" shapeId="0">
      <text>
        <t>Principal = MAX(0, MIN(Opening, $5,089.58 - Interest))</t>
      </text>
    </comment>
    <comment ref="G96" authorId="0" shapeId="0">
      <text>
        <t>Closing = MAX(0, Opening - Principal)</t>
      </text>
    </comment>
    <comment ref="E97" authorId="0" shapeId="0">
      <text>
        <t>Interest = MAX(0, Opening * 8.35%/12)</t>
      </text>
    </comment>
    <comment ref="F97" authorId="0" shapeId="0">
      <text>
        <t>Principal = MAX(0, MIN(Opening, $5,089.58 - Interest))</t>
      </text>
    </comment>
    <comment ref="G97" authorId="0" shapeId="0">
      <text>
        <t>Closing = MAX(0, Opening - Principal)</t>
      </text>
    </comment>
    <comment ref="E98" authorId="0" shapeId="0">
      <text>
        <t>Interest = MAX(0, Opening * 8.35%/12)</t>
      </text>
    </comment>
    <comment ref="F98" authorId="0" shapeId="0">
      <text>
        <t>Principal = MAX(0, MIN(Opening, $5,089.58 - Interest))</t>
      </text>
    </comment>
    <comment ref="G98" authorId="0" shapeId="0">
      <text>
        <t>Closing = MAX(0, Opening - Principal)</t>
      </text>
    </comment>
    <comment ref="E99" authorId="0" shapeId="0">
      <text>
        <t>Sum of rows 43-98: Total interest over loan term</t>
      </text>
    </comment>
    <comment ref="F99" authorId="0" shapeId="0">
      <text>
        <t>Sum of rows 43-98: Total principal over loan term</t>
      </text>
    </comment>
    <comment ref="C108" authorId="0" shapeId="0">
      <text>
        <t>Loan: Ascentium Capital, AMORTIZING.
Source: Meiborg_Debt_Schedule_202511.xlsx</t>
      </text>
    </comment>
    <comment ref="C110" authorId="0" shapeId="0">
      <text>
        <t>Rate as stated in source document.</t>
      </text>
    </comment>
    <comment ref="D118" authorId="0" shapeId="0">
      <text>
        <t>Starting balance as of Nov 2025.
Source: Meiborg_Debt_Schedule_202511.xlsx</t>
      </text>
    </comment>
    <comment ref="E118" authorId="0" shapeId="0">
      <text>
        <t>Interest = MAX(0, Opening * 8.37%/12)</t>
      </text>
    </comment>
    <comment ref="F118" authorId="0" shapeId="0">
      <text>
        <t>Principal = MAX(0, MIN(Opening, $5,084.70 - Interest))</t>
      </text>
    </comment>
    <comment ref="G118" authorId="0" shapeId="0">
      <text>
        <t>Closing = MAX(0, Opening - Principal)</t>
      </text>
    </comment>
    <comment ref="E119" authorId="0" shapeId="0">
      <text>
        <t>Interest = MAX(0, Opening * 8.37%/12)</t>
      </text>
    </comment>
    <comment ref="F119" authorId="0" shapeId="0">
      <text>
        <t>Principal = MAX(0, MIN(Opening, $5,084.70 - Interest))</t>
      </text>
    </comment>
    <comment ref="G119" authorId="0" shapeId="0">
      <text>
        <t>Closing = MAX(0, Opening - Principal)</t>
      </text>
    </comment>
    <comment ref="E120" authorId="0" shapeId="0">
      <text>
        <t>Interest = MAX(0, Opening * 8.37%/12)</t>
      </text>
    </comment>
    <comment ref="F120" authorId="0" shapeId="0">
      <text>
        <t>Principal = MAX(0, MIN(Opening, $5,084.70 - Interest))</t>
      </text>
    </comment>
    <comment ref="G120" authorId="0" shapeId="0">
      <text>
        <t>Closing = MAX(0, Opening - Principal)</t>
      </text>
    </comment>
    <comment ref="E121" authorId="0" shapeId="0">
      <text>
        <t>Interest = MAX(0, Opening * 8.37%/12)</t>
      </text>
    </comment>
    <comment ref="F121" authorId="0" shapeId="0">
      <text>
        <t>Principal = MAX(0, MIN(Opening, $5,084.70 - Interest))</t>
      </text>
    </comment>
    <comment ref="G121" authorId="0" shapeId="0">
      <text>
        <t>Closing = MAX(0, Opening - Principal)</t>
      </text>
    </comment>
    <comment ref="E122" authorId="0" shapeId="0">
      <text>
        <t>Interest = MAX(0, Opening * 8.37%/12)</t>
      </text>
    </comment>
    <comment ref="F122" authorId="0" shapeId="0">
      <text>
        <t>Principal = MAX(0, MIN(Opening, $5,084.70 - Interest))</t>
      </text>
    </comment>
    <comment ref="G122" authorId="0" shapeId="0">
      <text>
        <t>Closing = MAX(0, Opening - Principal)</t>
      </text>
    </comment>
    <comment ref="E123" authorId="0" shapeId="0">
      <text>
        <t>Interest = MAX(0, Opening * 8.37%/12)</t>
      </text>
    </comment>
    <comment ref="F123" authorId="0" shapeId="0">
      <text>
        <t>Principal = MAX(0, MIN(Opening, $5,084.70 - Interest))</t>
      </text>
    </comment>
    <comment ref="G123" authorId="0" shapeId="0">
      <text>
        <t>Closing = MAX(0, Opening - Principal)</t>
      </text>
    </comment>
    <comment ref="E124" authorId="0" shapeId="0">
      <text>
        <t>Interest = MAX(0, Opening * 8.37%/12)</t>
      </text>
    </comment>
    <comment ref="F124" authorId="0" shapeId="0">
      <text>
        <t>Principal = MAX(0, MIN(Opening, $5,084.70 - Interest))</t>
      </text>
    </comment>
    <comment ref="G124" authorId="0" shapeId="0">
      <text>
        <t>Closing = MAX(0, Opening - Principal)</t>
      </text>
    </comment>
    <comment ref="E125" authorId="0" shapeId="0">
      <text>
        <t>Interest = MAX(0, Opening * 8.37%/12)</t>
      </text>
    </comment>
    <comment ref="F125" authorId="0" shapeId="0">
      <text>
        <t>Principal = MAX(0, MIN(Opening, $5,084.70 - Interest))</t>
      </text>
    </comment>
    <comment ref="G125" authorId="0" shapeId="0">
      <text>
        <t>Closing = MAX(0, Opening - Principal)</t>
      </text>
    </comment>
    <comment ref="E126" authorId="0" shapeId="0">
      <text>
        <t>Interest = MAX(0, Opening * 8.37%/12)</t>
      </text>
    </comment>
    <comment ref="F126" authorId="0" shapeId="0">
      <text>
        <t>Principal = MAX(0, MIN(Opening, $5,084.70 - Interest))</t>
      </text>
    </comment>
    <comment ref="G126" authorId="0" shapeId="0">
      <text>
        <t>Closing = MAX(0, Opening - Principal)</t>
      </text>
    </comment>
    <comment ref="E127" authorId="0" shapeId="0">
      <text>
        <t>Interest = MAX(0, Opening * 8.37%/12)</t>
      </text>
    </comment>
    <comment ref="F127" authorId="0" shapeId="0">
      <text>
        <t>Principal = MAX(0, MIN(Opening, $5,084.70 - Interest))</t>
      </text>
    </comment>
    <comment ref="G127" authorId="0" shapeId="0">
      <text>
        <t>Closing = MAX(0, Opening - Principal)</t>
      </text>
    </comment>
    <comment ref="E128" authorId="0" shapeId="0">
      <text>
        <t>Interest = MAX(0, Opening * 8.37%/12)</t>
      </text>
    </comment>
    <comment ref="F128" authorId="0" shapeId="0">
      <text>
        <t>Principal = MAX(0, MIN(Opening, $5,084.70 - Interest))</t>
      </text>
    </comment>
    <comment ref="G128" authorId="0" shapeId="0">
      <text>
        <t>Closing = MAX(0, Opening - Principal)</t>
      </text>
    </comment>
    <comment ref="E129" authorId="0" shapeId="0">
      <text>
        <t>Interest = MAX(0, Opening * 8.37%/12)</t>
      </text>
    </comment>
    <comment ref="F129" authorId="0" shapeId="0">
      <text>
        <t>Principal = MAX(0, MIN(Opening, $5,084.70 - Interest))</t>
      </text>
    </comment>
    <comment ref="G129" authorId="0" shapeId="0">
      <text>
        <t>Closing = MAX(0, Opening - Principal)</t>
      </text>
    </comment>
    <comment ref="E130" authorId="0" shapeId="0">
      <text>
        <t>Interest = MAX(0, Opening * 8.37%/12)</t>
      </text>
    </comment>
    <comment ref="F130" authorId="0" shapeId="0">
      <text>
        <t>Principal = MAX(0, MIN(Opening, $5,084.70 - Interest))</t>
      </text>
    </comment>
    <comment ref="G130" authorId="0" shapeId="0">
      <text>
        <t>Closing = MAX(0, Opening - Principal)</t>
      </text>
    </comment>
    <comment ref="E131" authorId="0" shapeId="0">
      <text>
        <t>Interest = MAX(0, Opening * 8.37%/12)</t>
      </text>
    </comment>
    <comment ref="F131" authorId="0" shapeId="0">
      <text>
        <t>Principal = MAX(0, MIN(Opening, $5,084.70 - Interest))</t>
      </text>
    </comment>
    <comment ref="G131" authorId="0" shapeId="0">
      <text>
        <t>Closing = MAX(0, Opening - Principal)</t>
      </text>
    </comment>
    <comment ref="E132" authorId="0" shapeId="0">
      <text>
        <t>Interest = MAX(0, Opening * 8.37%/12)</t>
      </text>
    </comment>
    <comment ref="F132" authorId="0" shapeId="0">
      <text>
        <t>Principal = MAX(0, MIN(Opening, $5,084.70 - Interest))</t>
      </text>
    </comment>
    <comment ref="G132" authorId="0" shapeId="0">
      <text>
        <t>Closing = MAX(0, Opening - Principal)</t>
      </text>
    </comment>
    <comment ref="E133" authorId="0" shapeId="0">
      <text>
        <t>Interest = MAX(0, Opening * 8.37%/12)</t>
      </text>
    </comment>
    <comment ref="F133" authorId="0" shapeId="0">
      <text>
        <t>Principal = MAX(0, MIN(Opening, $5,084.70 - Interest))</t>
      </text>
    </comment>
    <comment ref="G133" authorId="0" shapeId="0">
      <text>
        <t>Closing = MAX(0, Opening - Principal)</t>
      </text>
    </comment>
    <comment ref="E134" authorId="0" shapeId="0">
      <text>
        <t>Interest = MAX(0, Opening * 8.37%/12)</t>
      </text>
    </comment>
    <comment ref="F134" authorId="0" shapeId="0">
      <text>
        <t>Principal = MAX(0, MIN(Opening, $5,084.70 - Interest))</t>
      </text>
    </comment>
    <comment ref="G134" authorId="0" shapeId="0">
      <text>
        <t>Closing = MAX(0, Opening - Principal)</t>
      </text>
    </comment>
    <comment ref="E135" authorId="0" shapeId="0">
      <text>
        <t>Interest = MAX(0, Opening * 8.37%/12)</t>
      </text>
    </comment>
    <comment ref="F135" authorId="0" shapeId="0">
      <text>
        <t>Principal = MAX(0, MIN(Opening, $5,084.70 - Interest))</t>
      </text>
    </comment>
    <comment ref="G135" authorId="0" shapeId="0">
      <text>
        <t>Closing = MAX(0, Opening - Principal)</t>
      </text>
    </comment>
    <comment ref="E136" authorId="0" shapeId="0">
      <text>
        <t>Interest = MAX(0, Opening * 8.37%/12)</t>
      </text>
    </comment>
    <comment ref="F136" authorId="0" shapeId="0">
      <text>
        <t>Principal = MAX(0, MIN(Opening, $5,084.70 - Interest))</t>
      </text>
    </comment>
    <comment ref="G136" authorId="0" shapeId="0">
      <text>
        <t>Closing = MAX(0, Opening - Principal)</t>
      </text>
    </comment>
    <comment ref="E137" authorId="0" shapeId="0">
      <text>
        <t>Interest = MAX(0, Opening * 8.37%/12)</t>
      </text>
    </comment>
    <comment ref="F137" authorId="0" shapeId="0">
      <text>
        <t>Principal = MAX(0, MIN(Opening, $5,084.70 - Interest))</t>
      </text>
    </comment>
    <comment ref="G137" authorId="0" shapeId="0">
      <text>
        <t>Closing = MAX(0, Opening - Principal)</t>
      </text>
    </comment>
    <comment ref="E138" authorId="0" shapeId="0">
      <text>
        <t>Interest = MAX(0, Opening * 8.37%/12)</t>
      </text>
    </comment>
    <comment ref="F138" authorId="0" shapeId="0">
      <text>
        <t>Principal = MAX(0, MIN(Opening, $5,084.70 - Interest))</t>
      </text>
    </comment>
    <comment ref="G138" authorId="0" shapeId="0">
      <text>
        <t>Closing = MAX(0, Opening - Principal)</t>
      </text>
    </comment>
    <comment ref="E139" authorId="0" shapeId="0">
      <text>
        <t>Interest = MAX(0, Opening * 8.37%/12)</t>
      </text>
    </comment>
    <comment ref="F139" authorId="0" shapeId="0">
      <text>
        <t>Principal = MAX(0, MIN(Opening, $5,084.70 - Interest))</t>
      </text>
    </comment>
    <comment ref="G139" authorId="0" shapeId="0">
      <text>
        <t>Closing = MAX(0, Opening - Principal)</t>
      </text>
    </comment>
    <comment ref="E140" authorId="0" shapeId="0">
      <text>
        <t>Interest = MAX(0, Opening * 8.37%/12)</t>
      </text>
    </comment>
    <comment ref="F140" authorId="0" shapeId="0">
      <text>
        <t>Principal = MAX(0, MIN(Opening, $5,084.70 - Interest))</t>
      </text>
    </comment>
    <comment ref="G140" authorId="0" shapeId="0">
      <text>
        <t>Closing = MAX(0, Opening - Principal)</t>
      </text>
    </comment>
    <comment ref="E141" authorId="0" shapeId="0">
      <text>
        <t>Interest = MAX(0, Opening * 8.37%/12)</t>
      </text>
    </comment>
    <comment ref="F141" authorId="0" shapeId="0">
      <text>
        <t>Principal = MAX(0, MIN(Opening, $5,084.70 - Interest))</t>
      </text>
    </comment>
    <comment ref="G141" authorId="0" shapeId="0">
      <text>
        <t>Closing = MAX(0, Opening - Principal)</t>
      </text>
    </comment>
    <comment ref="E142" authorId="0" shapeId="0">
      <text>
        <t>Interest = MAX(0, Opening * 8.37%/12)</t>
      </text>
    </comment>
    <comment ref="F142" authorId="0" shapeId="0">
      <text>
        <t>Principal = MAX(0, MIN(Opening, $5,084.70 - Interest))</t>
      </text>
    </comment>
    <comment ref="G142" authorId="0" shapeId="0">
      <text>
        <t>Closing = MAX(0, Opening - Principal)</t>
      </text>
    </comment>
    <comment ref="E143" authorId="0" shapeId="0">
      <text>
        <t>Interest = MAX(0, Opening * 8.37%/12)</t>
      </text>
    </comment>
    <comment ref="F143" authorId="0" shapeId="0">
      <text>
        <t>Principal = MAX(0, MIN(Opening, $5,084.70 - Interest))</t>
      </text>
    </comment>
    <comment ref="G143" authorId="0" shapeId="0">
      <text>
        <t>Closing = MAX(0, Opening - Principal)</t>
      </text>
    </comment>
    <comment ref="E144" authorId="0" shapeId="0">
      <text>
        <t>Interest = MAX(0, Opening * 8.37%/12)</t>
      </text>
    </comment>
    <comment ref="F144" authorId="0" shapeId="0">
      <text>
        <t>Principal = MAX(0, MIN(Opening, $5,084.70 - Interest))</t>
      </text>
    </comment>
    <comment ref="G144" authorId="0" shapeId="0">
      <text>
        <t>Closing = MAX(0, Opening - Principal)</t>
      </text>
    </comment>
    <comment ref="E145" authorId="0" shapeId="0">
      <text>
        <t>Interest = MAX(0, Opening * 8.37%/12)</t>
      </text>
    </comment>
    <comment ref="F145" authorId="0" shapeId="0">
      <text>
        <t>Principal = MAX(0, MIN(Opening, $5,084.70 - Interest))</t>
      </text>
    </comment>
    <comment ref="G145" authorId="0" shapeId="0">
      <text>
        <t>Closing = MAX(0, Opening - Principal)</t>
      </text>
    </comment>
    <comment ref="E146" authorId="0" shapeId="0">
      <text>
        <t>Interest = MAX(0, Opening * 8.37%/12)</t>
      </text>
    </comment>
    <comment ref="F146" authorId="0" shapeId="0">
      <text>
        <t>Principal = MAX(0, MIN(Opening, $5,084.70 - Interest))</t>
      </text>
    </comment>
    <comment ref="G146" authorId="0" shapeId="0">
      <text>
        <t>Closing = MAX(0, Opening - Principal)</t>
      </text>
    </comment>
    <comment ref="E147" authorId="0" shapeId="0">
      <text>
        <t>Interest = MAX(0, Opening * 8.37%/12)</t>
      </text>
    </comment>
    <comment ref="F147" authorId="0" shapeId="0">
      <text>
        <t>Principal = MAX(0, MIN(Opening, $5,084.70 - Interest))</t>
      </text>
    </comment>
    <comment ref="G147" authorId="0" shapeId="0">
      <text>
        <t>Closing = MAX(0, Opening - Principal)</t>
      </text>
    </comment>
    <comment ref="E148" authorId="0" shapeId="0">
      <text>
        <t>Interest = MAX(0, Opening * 8.37%/12)</t>
      </text>
    </comment>
    <comment ref="F148" authorId="0" shapeId="0">
      <text>
        <t>Principal = MAX(0, MIN(Opening, $5,084.70 - Interest))</t>
      </text>
    </comment>
    <comment ref="G148" authorId="0" shapeId="0">
      <text>
        <t>Closing = MAX(0, Opening - Principal)</t>
      </text>
    </comment>
    <comment ref="E149" authorId="0" shapeId="0">
      <text>
        <t>Interest = MAX(0, Opening * 8.37%/12)</t>
      </text>
    </comment>
    <comment ref="F149" authorId="0" shapeId="0">
      <text>
        <t>Principal = MAX(0, MIN(Opening, $5,084.70 - Interest))</t>
      </text>
    </comment>
    <comment ref="G149" authorId="0" shapeId="0">
      <text>
        <t>Closing = MAX(0, Opening - Principal)</t>
      </text>
    </comment>
    <comment ref="E150" authorId="0" shapeId="0">
      <text>
        <t>Interest = MAX(0, Opening * 8.37%/12)</t>
      </text>
    </comment>
    <comment ref="F150" authorId="0" shapeId="0">
      <text>
        <t>Principal = MAX(0, MIN(Opening, $5,084.70 - Interest))</t>
      </text>
    </comment>
    <comment ref="G150" authorId="0" shapeId="0">
      <text>
        <t>Closing = MAX(0, Opening - Principal)</t>
      </text>
    </comment>
    <comment ref="E151" authorId="0" shapeId="0">
      <text>
        <t>Interest = MAX(0, Opening * 8.37%/12)</t>
      </text>
    </comment>
    <comment ref="F151" authorId="0" shapeId="0">
      <text>
        <t>Principal = MAX(0, MIN(Opening, $5,084.70 - Interest))</t>
      </text>
    </comment>
    <comment ref="G151" authorId="0" shapeId="0">
      <text>
        <t>Closing = MAX(0, Opening - Principal)</t>
      </text>
    </comment>
    <comment ref="E152" authorId="0" shapeId="0">
      <text>
        <t>Interest = MAX(0, Opening * 8.37%/12)</t>
      </text>
    </comment>
    <comment ref="F152" authorId="0" shapeId="0">
      <text>
        <t>Principal = MAX(0, MIN(Opening, $5,084.70 - Interest))</t>
      </text>
    </comment>
    <comment ref="G152" authorId="0" shapeId="0">
      <text>
        <t>Closing = MAX(0, Opening - Principal)</t>
      </text>
    </comment>
    <comment ref="E153" authorId="0" shapeId="0">
      <text>
        <t>Interest = MAX(0, Opening * 8.37%/12)</t>
      </text>
    </comment>
    <comment ref="F153" authorId="0" shapeId="0">
      <text>
        <t>Principal = MAX(0, MIN(Opening, $5,084.70 - Interest))</t>
      </text>
    </comment>
    <comment ref="G153" authorId="0" shapeId="0">
      <text>
        <t>Closing = MAX(0, Opening - Principal)</t>
      </text>
    </comment>
    <comment ref="E154" authorId="0" shapeId="0">
      <text>
        <t>Interest = MAX(0, Opening * 8.37%/12)</t>
      </text>
    </comment>
    <comment ref="F154" authorId="0" shapeId="0">
      <text>
        <t>Principal = MAX(0, MIN(Opening, $5,084.70 - Interest))</t>
      </text>
    </comment>
    <comment ref="G154" authorId="0" shapeId="0">
      <text>
        <t>Closing = MAX(0, Opening - Principal)</t>
      </text>
    </comment>
    <comment ref="E155" authorId="0" shapeId="0">
      <text>
        <t>Interest = MAX(0, Opening * 8.37%/12)</t>
      </text>
    </comment>
    <comment ref="F155" authorId="0" shapeId="0">
      <text>
        <t>Principal = MAX(0, MIN(Opening, $5,084.70 - Interest))</t>
      </text>
    </comment>
    <comment ref="G155" authorId="0" shapeId="0">
      <text>
        <t>Closing = MAX(0, Opening - Principal)</t>
      </text>
    </comment>
    <comment ref="E156" authorId="0" shapeId="0">
      <text>
        <t>Interest = MAX(0, Opening * 8.37%/12)</t>
      </text>
    </comment>
    <comment ref="F156" authorId="0" shapeId="0">
      <text>
        <t>Principal = MAX(0, MIN(Opening, $5,084.70 - Interest))</t>
      </text>
    </comment>
    <comment ref="G156" authorId="0" shapeId="0">
      <text>
        <t>Closing = MAX(0, Opening - Principal)</t>
      </text>
    </comment>
    <comment ref="E157" authorId="0" shapeId="0">
      <text>
        <t>Interest = MAX(0, Opening * 8.37%/12)</t>
      </text>
    </comment>
    <comment ref="F157" authorId="0" shapeId="0">
      <text>
        <t>Principal = MAX(0, MIN(Opening, $5,084.70 - Interest))</t>
      </text>
    </comment>
    <comment ref="G157" authorId="0" shapeId="0">
      <text>
        <t>Closing = MAX(0, Opening - Principal)</t>
      </text>
    </comment>
    <comment ref="E158" authorId="0" shapeId="0">
      <text>
        <t>Interest = MAX(0, Opening * 8.37%/12)</t>
      </text>
    </comment>
    <comment ref="F158" authorId="0" shapeId="0">
      <text>
        <t>Principal = MAX(0, MIN(Opening, $5,084.70 - Interest))</t>
      </text>
    </comment>
    <comment ref="G158" authorId="0" shapeId="0">
      <text>
        <t>Closing = MAX(0, Opening - Principal)</t>
      </text>
    </comment>
    <comment ref="E159" authorId="0" shapeId="0">
      <text>
        <t>Interest = MAX(0, Opening * 8.37%/12)</t>
      </text>
    </comment>
    <comment ref="F159" authorId="0" shapeId="0">
      <text>
        <t>Principal = MAX(0, MIN(Opening, $5,084.70 - Interest))</t>
      </text>
    </comment>
    <comment ref="G159" authorId="0" shapeId="0">
      <text>
        <t>Closing = MAX(0, Opening - Principal)</t>
      </text>
    </comment>
    <comment ref="E160" authorId="0" shapeId="0">
      <text>
        <t>Interest = MAX(0, Opening * 8.37%/12)</t>
      </text>
    </comment>
    <comment ref="F160" authorId="0" shapeId="0">
      <text>
        <t>Principal = MAX(0, MIN(Opening, $5,084.70 - Interest))</t>
      </text>
    </comment>
    <comment ref="G160" authorId="0" shapeId="0">
      <text>
        <t>Closing = MAX(0, Opening - Principal)</t>
      </text>
    </comment>
    <comment ref="E161" authorId="0" shapeId="0">
      <text>
        <t>Interest = MAX(0, Opening * 8.37%/12)</t>
      </text>
    </comment>
    <comment ref="F161" authorId="0" shapeId="0">
      <text>
        <t>Principal = MAX(0, MIN(Opening, $5,084.70 - Interest))</t>
      </text>
    </comment>
    <comment ref="G161" authorId="0" shapeId="0">
      <text>
        <t>Closing = MAX(0, Opening - Principal)</t>
      </text>
    </comment>
    <comment ref="E162" authorId="0" shapeId="0">
      <text>
        <t>Interest = MAX(0, Opening * 8.37%/12)</t>
      </text>
    </comment>
    <comment ref="F162" authorId="0" shapeId="0">
      <text>
        <t>Principal = MAX(0, MIN(Opening, $5,084.70 - Interest))</t>
      </text>
    </comment>
    <comment ref="G162" authorId="0" shapeId="0">
      <text>
        <t>Closing = MAX(0, Opening - Principal)</t>
      </text>
    </comment>
    <comment ref="E163" authorId="0" shapeId="0">
      <text>
        <t>Interest = MAX(0, Opening * 8.37%/12)</t>
      </text>
    </comment>
    <comment ref="F163" authorId="0" shapeId="0">
      <text>
        <t>Principal = MAX(0, MIN(Opening, $5,084.70 - Interest))</t>
      </text>
    </comment>
    <comment ref="G163" authorId="0" shapeId="0">
      <text>
        <t>Closing = MAX(0, Opening - Principal)</t>
      </text>
    </comment>
    <comment ref="E164" authorId="0" shapeId="0">
      <text>
        <t>Interest = MAX(0, Opening * 8.37%/12)</t>
      </text>
    </comment>
    <comment ref="F164" authorId="0" shapeId="0">
      <text>
        <t>Principal = MAX(0, MIN(Opening, $5,084.70 - Interest))</t>
      </text>
    </comment>
    <comment ref="G164" authorId="0" shapeId="0">
      <text>
        <t>Closing = MAX(0, Opening - Principal)</t>
      </text>
    </comment>
    <comment ref="E165" authorId="0" shapeId="0">
      <text>
        <t>Interest = MAX(0, Opening * 8.37%/12)</t>
      </text>
    </comment>
    <comment ref="F165" authorId="0" shapeId="0">
      <text>
        <t>Principal = MAX(0, MIN(Opening, $5,084.70 - Interest))</t>
      </text>
    </comment>
    <comment ref="G165" authorId="0" shapeId="0">
      <text>
        <t>Closing = MAX(0, Opening - Principal)</t>
      </text>
    </comment>
    <comment ref="E166" authorId="0" shapeId="0">
      <text>
        <t>Interest = MAX(0, Opening * 8.37%/12)</t>
      </text>
    </comment>
    <comment ref="F166" authorId="0" shapeId="0">
      <text>
        <t>Principal = MAX(0, MIN(Opening, $5,084.70 - Interest))</t>
      </text>
    </comment>
    <comment ref="G166" authorId="0" shapeId="0">
      <text>
        <t>Closing = MAX(0, Opening - Principal)</t>
      </text>
    </comment>
    <comment ref="E167" authorId="0" shapeId="0">
      <text>
        <t>Interest = MAX(0, Opening * 8.37%/12)</t>
      </text>
    </comment>
    <comment ref="F167" authorId="0" shapeId="0">
      <text>
        <t>Principal = MAX(0, MIN(Opening, $5,084.70 - Interest))</t>
      </text>
    </comment>
    <comment ref="G167" authorId="0" shapeId="0">
      <text>
        <t>Closing = MAX(0, Opening - Principal)</t>
      </text>
    </comment>
    <comment ref="E168" authorId="0" shapeId="0">
      <text>
        <t>Interest = MAX(0, Opening * 8.37%/12)</t>
      </text>
    </comment>
    <comment ref="F168" authorId="0" shapeId="0">
      <text>
        <t>Principal = MAX(0, MIN(Opening, $5,084.70 - Interest))</t>
      </text>
    </comment>
    <comment ref="G168" authorId="0" shapeId="0">
      <text>
        <t>Closing = MAX(0, Opening - Principal)</t>
      </text>
    </comment>
    <comment ref="E169" authorId="0" shapeId="0">
      <text>
        <t>Interest = MAX(0, Opening * 8.37%/12)</t>
      </text>
    </comment>
    <comment ref="F169" authorId="0" shapeId="0">
      <text>
        <t>Principal = MAX(0, MIN(Opening, $5,084.70 - Interest))</t>
      </text>
    </comment>
    <comment ref="G169" authorId="0" shapeId="0">
      <text>
        <t>Closing = MAX(0, Opening - Principal)</t>
      </text>
    </comment>
    <comment ref="E170" authorId="0" shapeId="0">
      <text>
        <t>Interest = MAX(0, Opening * 8.37%/12)</t>
      </text>
    </comment>
    <comment ref="F170" authorId="0" shapeId="0">
      <text>
        <t>Principal = MAX(0, MIN(Opening, $5,084.70 - Interest))</t>
      </text>
    </comment>
    <comment ref="G170" authorId="0" shapeId="0">
      <text>
        <t>Closing = MAX(0, Opening - Principal)</t>
      </text>
    </comment>
    <comment ref="E171" authorId="0" shapeId="0">
      <text>
        <t>Interest = MAX(0, Opening * 8.37%/12)</t>
      </text>
    </comment>
    <comment ref="F171" authorId="0" shapeId="0">
      <text>
        <t>Principal = MAX(0, MIN(Opening, $5,084.70 - Interest))</t>
      </text>
    </comment>
    <comment ref="G171" authorId="0" shapeId="0">
      <text>
        <t>Closing = MAX(0, Opening - Principal)</t>
      </text>
    </comment>
    <comment ref="E172" authorId="0" shapeId="0">
      <text>
        <t>Interest = MAX(0, Opening * 8.37%/12)</t>
      </text>
    </comment>
    <comment ref="F172" authorId="0" shapeId="0">
      <text>
        <t>Principal = MAX(0, MIN(Opening, $5,084.70 - Interest))</t>
      </text>
    </comment>
    <comment ref="G172" authorId="0" shapeId="0">
      <text>
        <t>Closing = MAX(0, Opening - Principal)</t>
      </text>
    </comment>
    <comment ref="E173" authorId="0" shapeId="0">
      <text>
        <t>Interest = MAX(0, Opening * 8.37%/12)</t>
      </text>
    </comment>
    <comment ref="F173" authorId="0" shapeId="0">
      <text>
        <t>Principal = MAX(0, MIN(Opening, $5,084.70 - Interest))</t>
      </text>
    </comment>
    <comment ref="G173" authorId="0" shapeId="0">
      <text>
        <t>Closing = MAX(0, Opening - Principal)</t>
      </text>
    </comment>
    <comment ref="E174" authorId="0" shapeId="0">
      <text>
        <t>Sum of rows 118-173: Total interest over loan term</t>
      </text>
    </comment>
    <comment ref="F174" authorId="0" shapeId="0">
      <text>
        <t>Sum of rows 118-173: Total principal over loan term</t>
      </text>
    </comment>
    <comment ref="C183" authorId="0" shapeId="0">
      <text>
        <t>Loan: Amur Financial, AMORTIZING.
Source: Meiborg_Debt_Schedule_202511.xlsx</t>
      </text>
    </comment>
    <comment ref="C185" authorId="0" shapeId="0">
      <text>
        <t>Rate as stated in source document.</t>
      </text>
    </comment>
    <comment ref="D193" authorId="0" shapeId="0">
      <text>
        <t>Starting balance as of Nov 2025.
Source: Meiborg_Debt_Schedule_202511.xlsx</t>
      </text>
    </comment>
    <comment ref="E193" authorId="0" shapeId="0">
      <text>
        <t>Interest = MAX(0, Opening * 10.75%/12)</t>
      </text>
    </comment>
    <comment ref="F193" authorId="0" shapeId="0">
      <text>
        <t>Principal = MAX(0, MIN(Opening, $1,279.13 - Interest))</t>
      </text>
    </comment>
    <comment ref="G193" authorId="0" shapeId="0">
      <text>
        <t>Closing = MAX(0, Opening - Principal)</t>
      </text>
    </comment>
    <comment ref="E194" authorId="0" shapeId="0">
      <text>
        <t>Interest = MAX(0, Opening * 10.75%/12)</t>
      </text>
    </comment>
    <comment ref="F194" authorId="0" shapeId="0">
      <text>
        <t>Principal = MAX(0, MIN(Opening, $1,279.13 - Interest))</t>
      </text>
    </comment>
    <comment ref="G194" authorId="0" shapeId="0">
      <text>
        <t>Closing = MAX(0, Opening - Principal)</t>
      </text>
    </comment>
    <comment ref="E195" authorId="0" shapeId="0">
      <text>
        <t>Interest = MAX(0, Opening * 10.75%/12)</t>
      </text>
    </comment>
    <comment ref="F195" authorId="0" shapeId="0">
      <text>
        <t>Principal = MAX(0, MIN(Opening, $1,279.13 - Interest))</t>
      </text>
    </comment>
    <comment ref="G195" authorId="0" shapeId="0">
      <text>
        <t>Closing = MAX(0, Opening - Principal)</t>
      </text>
    </comment>
    <comment ref="E196" authorId="0" shapeId="0">
      <text>
        <t>Interest = MAX(0, Opening * 10.75%/12)</t>
      </text>
    </comment>
    <comment ref="F196" authorId="0" shapeId="0">
      <text>
        <t>Principal = MAX(0, MIN(Opening, $1,279.13 - Interest))</t>
      </text>
    </comment>
    <comment ref="G196" authorId="0" shapeId="0">
      <text>
        <t>Closing = MAX(0, Opening - Principal)</t>
      </text>
    </comment>
    <comment ref="E197" authorId="0" shapeId="0">
      <text>
        <t>Interest = MAX(0, Opening * 10.75%/12)</t>
      </text>
    </comment>
    <comment ref="F197" authorId="0" shapeId="0">
      <text>
        <t>Principal = MAX(0, MIN(Opening, $1,279.13 - Interest))</t>
      </text>
    </comment>
    <comment ref="G197" authorId="0" shapeId="0">
      <text>
        <t>Closing = MAX(0, Opening - Principal)</t>
      </text>
    </comment>
    <comment ref="E198" authorId="0" shapeId="0">
      <text>
        <t>Interest = MAX(0, Opening * 10.75%/12)</t>
      </text>
    </comment>
    <comment ref="F198" authorId="0" shapeId="0">
      <text>
        <t>Principal = MAX(0, MIN(Opening, $1,279.13 - Interest))</t>
      </text>
    </comment>
    <comment ref="G198" authorId="0" shapeId="0">
      <text>
        <t>Closing = MAX(0, Opening - Principal)</t>
      </text>
    </comment>
    <comment ref="E199" authorId="0" shapeId="0">
      <text>
        <t>Interest = MAX(0, Opening * 10.75%/12)</t>
      </text>
    </comment>
    <comment ref="F199" authorId="0" shapeId="0">
      <text>
        <t>Principal = MAX(0, MIN(Opening, $1,279.13 - Interest))</t>
      </text>
    </comment>
    <comment ref="G199" authorId="0" shapeId="0">
      <text>
        <t>Closing = MAX(0, Opening - Principal)</t>
      </text>
    </comment>
    <comment ref="E200" authorId="0" shapeId="0">
      <text>
        <t>Interest = MAX(0, Opening * 10.75%/12)</t>
      </text>
    </comment>
    <comment ref="F200" authorId="0" shapeId="0">
      <text>
        <t>Principal = MAX(0, MIN(Opening, $1,279.13 - Interest))</t>
      </text>
    </comment>
    <comment ref="G200" authorId="0" shapeId="0">
      <text>
        <t>Closing = MAX(0, Opening - Principal)</t>
      </text>
    </comment>
    <comment ref="E201" authorId="0" shapeId="0">
      <text>
        <t>Interest = MAX(0, Opening * 10.75%/12)</t>
      </text>
    </comment>
    <comment ref="F201" authorId="0" shapeId="0">
      <text>
        <t>Principal = MAX(0, MIN(Opening, $1,279.13 - Interest))</t>
      </text>
    </comment>
    <comment ref="G201" authorId="0" shapeId="0">
      <text>
        <t>Closing = MAX(0, Opening - Principal)</t>
      </text>
    </comment>
    <comment ref="E202" authorId="0" shapeId="0">
      <text>
        <t>Interest = MAX(0, Opening * 10.75%/12)</t>
      </text>
    </comment>
    <comment ref="F202" authorId="0" shapeId="0">
      <text>
        <t>Principal = MAX(0, MIN(Opening, $1,279.13 - Interest))</t>
      </text>
    </comment>
    <comment ref="G202" authorId="0" shapeId="0">
      <text>
        <t>Closing = MAX(0, Opening - Principal)</t>
      </text>
    </comment>
    <comment ref="E203" authorId="0" shapeId="0">
      <text>
        <t>Interest = MAX(0, Opening * 10.75%/12)</t>
      </text>
    </comment>
    <comment ref="F203" authorId="0" shapeId="0">
      <text>
        <t>Principal = MAX(0, MIN(Opening, $1,279.13 - Interest))</t>
      </text>
    </comment>
    <comment ref="G203" authorId="0" shapeId="0">
      <text>
        <t>Closing = MAX(0, Opening - Principal)</t>
      </text>
    </comment>
    <comment ref="E204" authorId="0" shapeId="0">
      <text>
        <t>Interest = MAX(0, Opening * 10.75%/12)</t>
      </text>
    </comment>
    <comment ref="F204" authorId="0" shapeId="0">
      <text>
        <t>Principal = MAX(0, MIN(Opening, $1,279.13 - Interest))</t>
      </text>
    </comment>
    <comment ref="G204" authorId="0" shapeId="0">
      <text>
        <t>Closing = MAX(0, Opening - Principal)</t>
      </text>
    </comment>
    <comment ref="E205" authorId="0" shapeId="0">
      <text>
        <t>Interest = MAX(0, Opening * 10.75%/12)</t>
      </text>
    </comment>
    <comment ref="F205" authorId="0" shapeId="0">
      <text>
        <t>Principal = MAX(0, MIN(Opening, $1,279.13 - Interest))</t>
      </text>
    </comment>
    <comment ref="G205" authorId="0" shapeId="0">
      <text>
        <t>Closing = MAX(0, Opening - Principal)</t>
      </text>
    </comment>
    <comment ref="E206" authorId="0" shapeId="0">
      <text>
        <t>Interest = MAX(0, Opening * 10.75%/12)</t>
      </text>
    </comment>
    <comment ref="F206" authorId="0" shapeId="0">
      <text>
        <t>Principal = MAX(0, MIN(Opening, $1,279.13 - Interest))</t>
      </text>
    </comment>
    <comment ref="G206" authorId="0" shapeId="0">
      <text>
        <t>Closing = MAX(0, Opening - Principal)</t>
      </text>
    </comment>
    <comment ref="E207" authorId="0" shapeId="0">
      <text>
        <t>Interest = MAX(0, Opening * 10.75%/12)</t>
      </text>
    </comment>
    <comment ref="F207" authorId="0" shapeId="0">
      <text>
        <t>Principal = MAX(0, MIN(Opening, $1,279.13 - Interest))</t>
      </text>
    </comment>
    <comment ref="G207" authorId="0" shapeId="0">
      <text>
        <t>Closing = MAX(0, Opening - Principal)</t>
      </text>
    </comment>
    <comment ref="E208" authorId="0" shapeId="0">
      <text>
        <t>Interest = MAX(0, Opening * 10.75%/12)</t>
      </text>
    </comment>
    <comment ref="F208" authorId="0" shapeId="0">
      <text>
        <t>Principal = MAX(0, MIN(Opening, $1,279.13 - Interest))</t>
      </text>
    </comment>
    <comment ref="G208" authorId="0" shapeId="0">
      <text>
        <t>Closing = MAX(0, Opening - Principal)</t>
      </text>
    </comment>
    <comment ref="E209" authorId="0" shapeId="0">
      <text>
        <t>Interest = MAX(0, Opening * 10.75%/12)</t>
      </text>
    </comment>
    <comment ref="F209" authorId="0" shapeId="0">
      <text>
        <t>Principal = MAX(0, MIN(Opening, $1,279.13 - Interest))</t>
      </text>
    </comment>
    <comment ref="G209" authorId="0" shapeId="0">
      <text>
        <t>Closing = MAX(0, Opening - Principal)</t>
      </text>
    </comment>
    <comment ref="E210" authorId="0" shapeId="0">
      <text>
        <t>Interest = MAX(0, Opening * 10.75%/12)</t>
      </text>
    </comment>
    <comment ref="F210" authorId="0" shapeId="0">
      <text>
        <t>Principal = MAX(0, MIN(Opening, $1,279.13 - Interest))</t>
      </text>
    </comment>
    <comment ref="G210" authorId="0" shapeId="0">
      <text>
        <t>Closing = MAX(0, Opening - Principal)</t>
      </text>
    </comment>
    <comment ref="E211" authorId="0" shapeId="0">
      <text>
        <t>Interest = MAX(0, Opening * 10.75%/12)</t>
      </text>
    </comment>
    <comment ref="F211" authorId="0" shapeId="0">
      <text>
        <t>Principal = MAX(0, MIN(Opening, $1,279.13 - Interest))</t>
      </text>
    </comment>
    <comment ref="G211" authorId="0" shapeId="0">
      <text>
        <t>Closing = MAX(0, Opening - Principal)</t>
      </text>
    </comment>
    <comment ref="E212" authorId="0" shapeId="0">
      <text>
        <t>Interest = MAX(0, Opening * 10.75%/12)</t>
      </text>
    </comment>
    <comment ref="F212" authorId="0" shapeId="0">
      <text>
        <t>Principal = MAX(0, MIN(Opening, $1,279.13 - Interest))</t>
      </text>
    </comment>
    <comment ref="G212" authorId="0" shapeId="0">
      <text>
        <t>Closing = MAX(0, Opening - Principal)</t>
      </text>
    </comment>
    <comment ref="E213" authorId="0" shapeId="0">
      <text>
        <t>Interest = MAX(0, Opening * 10.75%/12)</t>
      </text>
    </comment>
    <comment ref="F213" authorId="0" shapeId="0">
      <text>
        <t>Principal = MAX(0, MIN(Opening, $1,279.13 - Interest))</t>
      </text>
    </comment>
    <comment ref="G213" authorId="0" shapeId="0">
      <text>
        <t>Closing = MAX(0, Opening - Principal)</t>
      </text>
    </comment>
    <comment ref="E214" authorId="0" shapeId="0">
      <text>
        <t>Interest = MAX(0, Opening * 10.75%/12)</t>
      </text>
    </comment>
    <comment ref="F214" authorId="0" shapeId="0">
      <text>
        <t>Principal = MAX(0, MIN(Opening, $1,279.13 - Interest))</t>
      </text>
    </comment>
    <comment ref="G214" authorId="0" shapeId="0">
      <text>
        <t>Closing = MAX(0, Opening - Principal)</t>
      </text>
    </comment>
    <comment ref="E215" authorId="0" shapeId="0">
      <text>
        <t>Interest = MAX(0, Opening * 10.75%/12)</t>
      </text>
    </comment>
    <comment ref="F215" authorId="0" shapeId="0">
      <text>
        <t>Principal = MAX(0, MIN(Opening, $1,279.13 - Interest))</t>
      </text>
    </comment>
    <comment ref="G215" authorId="0" shapeId="0">
      <text>
        <t>Closing = MAX(0, Opening - Principal)</t>
      </text>
    </comment>
    <comment ref="E216" authorId="0" shapeId="0">
      <text>
        <t>Interest = MAX(0, Opening * 10.75%/12)</t>
      </text>
    </comment>
    <comment ref="F216" authorId="0" shapeId="0">
      <text>
        <t>Principal = MAX(0, MIN(Opening, $1,279.13 - Interest))</t>
      </text>
    </comment>
    <comment ref="G216" authorId="0" shapeId="0">
      <text>
        <t>Closing = MAX(0, Opening - Principal)</t>
      </text>
    </comment>
    <comment ref="E217" authorId="0" shapeId="0">
      <text>
        <t>Interest = MAX(0, Opening * 10.75%/12)</t>
      </text>
    </comment>
    <comment ref="F217" authorId="0" shapeId="0">
      <text>
        <t>Principal = MAX(0, MIN(Opening, $1,279.13 - Interest))</t>
      </text>
    </comment>
    <comment ref="G217" authorId="0" shapeId="0">
      <text>
        <t>Closing = MAX(0, Opening - Principal)</t>
      </text>
    </comment>
    <comment ref="E218" authorId="0" shapeId="0">
      <text>
        <t>Interest = MAX(0, Opening * 10.75%/12)</t>
      </text>
    </comment>
    <comment ref="F218" authorId="0" shapeId="0">
      <text>
        <t>Principal = MAX(0, MIN(Opening, $1,279.13 - Interest))</t>
      </text>
    </comment>
    <comment ref="G218" authorId="0" shapeId="0">
      <text>
        <t>Closing = MAX(0, Opening - Principal)</t>
      </text>
    </comment>
    <comment ref="E219" authorId="0" shapeId="0">
      <text>
        <t>Interest = MAX(0, Opening * 10.75%/12)</t>
      </text>
    </comment>
    <comment ref="F219" authorId="0" shapeId="0">
      <text>
        <t>Principal = MAX(0, MIN(Opening, $1,279.13 - Interest))</t>
      </text>
    </comment>
    <comment ref="G219" authorId="0" shapeId="0">
      <text>
        <t>Closing = MAX(0, Opening - Principal)</t>
      </text>
    </comment>
    <comment ref="E220" authorId="0" shapeId="0">
      <text>
        <t>Interest = MAX(0, Opening * 10.75%/12)</t>
      </text>
    </comment>
    <comment ref="F220" authorId="0" shapeId="0">
      <text>
        <t>Principal = MAX(0, MIN(Opening, $1,279.13 - Interest))</t>
      </text>
    </comment>
    <comment ref="G220" authorId="0" shapeId="0">
      <text>
        <t>Closing = MAX(0, Opening - Principal)</t>
      </text>
    </comment>
    <comment ref="E221" authorId="0" shapeId="0">
      <text>
        <t>Interest = MAX(0, Opening * 10.75%/12)</t>
      </text>
    </comment>
    <comment ref="F221" authorId="0" shapeId="0">
      <text>
        <t>Principal = MAX(0, MIN(Opening, $1,279.13 - Interest))</t>
      </text>
    </comment>
    <comment ref="G221" authorId="0" shapeId="0">
      <text>
        <t>Closing = MAX(0, Opening - Principal)</t>
      </text>
    </comment>
    <comment ref="E222" authorId="0" shapeId="0">
      <text>
        <t>Interest = MAX(0, Opening * 10.75%/12)</t>
      </text>
    </comment>
    <comment ref="F222" authorId="0" shapeId="0">
      <text>
        <t>Principal = MAX(0, MIN(Opening, $1,279.13 - Interest))</t>
      </text>
    </comment>
    <comment ref="G222" authorId="0" shapeId="0">
      <text>
        <t>Closing = MAX(0, Opening - Principal)</t>
      </text>
    </comment>
    <comment ref="E223" authorId="0" shapeId="0">
      <text>
        <t>Interest = MAX(0, Opening * 10.75%/12)</t>
      </text>
    </comment>
    <comment ref="F223" authorId="0" shapeId="0">
      <text>
        <t>Principal = MAX(0, MIN(Opening, $1,279.13 - Interest))</t>
      </text>
    </comment>
    <comment ref="G223" authorId="0" shapeId="0">
      <text>
        <t>Closing = MAX(0, Opening - Principal)</t>
      </text>
    </comment>
    <comment ref="E224" authorId="0" shapeId="0">
      <text>
        <t>Interest = MAX(0, Opening * 10.75%/12)</t>
      </text>
    </comment>
    <comment ref="F224" authorId="0" shapeId="0">
      <text>
        <t>Principal = MAX(0, MIN(Opening, $1,279.13 - Interest))</t>
      </text>
    </comment>
    <comment ref="G224" authorId="0" shapeId="0">
      <text>
        <t>Closing = MAX(0, Opening - Principal)</t>
      </text>
    </comment>
    <comment ref="E225" authorId="0" shapeId="0">
      <text>
        <t>Interest = MAX(0, Opening * 10.75%/12)</t>
      </text>
    </comment>
    <comment ref="F225" authorId="0" shapeId="0">
      <text>
        <t>Principal = MAX(0, MIN(Opening, $1,279.13 - Interest))</t>
      </text>
    </comment>
    <comment ref="G225" authorId="0" shapeId="0">
      <text>
        <t>Closing = MAX(0, Opening - Principal)</t>
      </text>
    </comment>
    <comment ref="E226" authorId="0" shapeId="0">
      <text>
        <t>Interest = MAX(0, Opening * 10.75%/12)</t>
      </text>
    </comment>
    <comment ref="F226" authorId="0" shapeId="0">
      <text>
        <t>Principal = MAX(0, MIN(Opening, $1,279.13 - Interest))</t>
      </text>
    </comment>
    <comment ref="G226" authorId="0" shapeId="0">
      <text>
        <t>Closing = MAX(0, Opening - Principal)</t>
      </text>
    </comment>
    <comment ref="E227" authorId="0" shapeId="0">
      <text>
        <t>Interest = MAX(0, Opening * 10.75%/12)</t>
      </text>
    </comment>
    <comment ref="F227" authorId="0" shapeId="0">
      <text>
        <t>Principal = MAX(0, MIN(Opening, $1,279.13 - Interest))</t>
      </text>
    </comment>
    <comment ref="G227" authorId="0" shapeId="0">
      <text>
        <t>Closing = MAX(0, Opening - Principal)</t>
      </text>
    </comment>
    <comment ref="E228" authorId="0" shapeId="0">
      <text>
        <t>Interest = MAX(0, Opening * 10.75%/12)</t>
      </text>
    </comment>
    <comment ref="F228" authorId="0" shapeId="0">
      <text>
        <t>Principal = MAX(0, MIN(Opening, $1,279.13 - Interest))</t>
      </text>
    </comment>
    <comment ref="G228" authorId="0" shapeId="0">
      <text>
        <t>Closing = MAX(0, Opening - Principal)</t>
      </text>
    </comment>
    <comment ref="E229" authorId="0" shapeId="0">
      <text>
        <t>Interest = MAX(0, Opening * 10.75%/12)</t>
      </text>
    </comment>
    <comment ref="F229" authorId="0" shapeId="0">
      <text>
        <t>Principal = MAX(0, MIN(Opening, $1,279.13 - Interest))</t>
      </text>
    </comment>
    <comment ref="G229" authorId="0" shapeId="0">
      <text>
        <t>Closing = MAX(0, Opening - Principal)</t>
      </text>
    </comment>
    <comment ref="E230" authorId="0" shapeId="0">
      <text>
        <t>Interest = MAX(0, Opening * 10.75%/12)</t>
      </text>
    </comment>
    <comment ref="F230" authorId="0" shapeId="0">
      <text>
        <t>Principal = MAX(0, MIN(Opening, $1,279.13 - Interest))</t>
      </text>
    </comment>
    <comment ref="G230" authorId="0" shapeId="0">
      <text>
        <t>Closing = MAX(0, Opening - Principal)</t>
      </text>
    </comment>
    <comment ref="E231" authorId="0" shapeId="0">
      <text>
        <t>Interest = MAX(0, Opening * 10.75%/12)</t>
      </text>
    </comment>
    <comment ref="F231" authorId="0" shapeId="0">
      <text>
        <t>Principal = MAX(0, MIN(Opening, $1,279.13 - Interest))</t>
      </text>
    </comment>
    <comment ref="G231" authorId="0" shapeId="0">
      <text>
        <t>Closing = MAX(0, Opening - Principal)</t>
      </text>
    </comment>
    <comment ref="E232" authorId="0" shapeId="0">
      <text>
        <t>Interest = MAX(0, Opening * 10.75%/12)</t>
      </text>
    </comment>
    <comment ref="F232" authorId="0" shapeId="0">
      <text>
        <t>Principal = MAX(0, MIN(Opening, $1,279.13 - Interest))</t>
      </text>
    </comment>
    <comment ref="G232" authorId="0" shapeId="0">
      <text>
        <t>Closing = MAX(0, Opening - Principal)</t>
      </text>
    </comment>
    <comment ref="E233" authorId="0" shapeId="0">
      <text>
        <t>Interest = MAX(0, Opening * 10.75%/12)</t>
      </text>
    </comment>
    <comment ref="F233" authorId="0" shapeId="0">
      <text>
        <t>Principal = MAX(0, MIN(Opening, $1,279.13 - Interest))</t>
      </text>
    </comment>
    <comment ref="G233" authorId="0" shapeId="0">
      <text>
        <t>Closing = MAX(0, Opening - Principal)</t>
      </text>
    </comment>
    <comment ref="E234" authorId="0" shapeId="0">
      <text>
        <t>Interest = MAX(0, Opening * 10.75%/12)</t>
      </text>
    </comment>
    <comment ref="F234" authorId="0" shapeId="0">
      <text>
        <t>Principal = MAX(0, MIN(Opening, $1,279.13 - Interest))</t>
      </text>
    </comment>
    <comment ref="G234" authorId="0" shapeId="0">
      <text>
        <t>Closing = MAX(0, Opening - Principal)</t>
      </text>
    </comment>
    <comment ref="E235" authorId="0" shapeId="0">
      <text>
        <t>Interest = MAX(0, Opening * 10.75%/12)</t>
      </text>
    </comment>
    <comment ref="F235" authorId="0" shapeId="0">
      <text>
        <t>Principal = MAX(0, MIN(Opening, $1,279.13 - Interest))</t>
      </text>
    </comment>
    <comment ref="G235" authorId="0" shapeId="0">
      <text>
        <t>Closing = MAX(0, Opening - Principal)</t>
      </text>
    </comment>
    <comment ref="E236" authorId="0" shapeId="0">
      <text>
        <t>Interest = MAX(0, Opening * 10.75%/12)</t>
      </text>
    </comment>
    <comment ref="F236" authorId="0" shapeId="0">
      <text>
        <t>Principal = MAX(0, MIN(Opening, $1,279.13 - Interest))</t>
      </text>
    </comment>
    <comment ref="G236" authorId="0" shapeId="0">
      <text>
        <t>Closing = MAX(0, Opening - Principal)</t>
      </text>
    </comment>
    <comment ref="E237" authorId="0" shapeId="0">
      <text>
        <t>Interest = MAX(0, Opening * 10.75%/12)</t>
      </text>
    </comment>
    <comment ref="F237" authorId="0" shapeId="0">
      <text>
        <t>Principal = MAX(0, MIN(Opening, $1,279.13 - Interest))</t>
      </text>
    </comment>
    <comment ref="G237" authorId="0" shapeId="0">
      <text>
        <t>Closing = MAX(0, Opening - Principal)</t>
      </text>
    </comment>
    <comment ref="E238" authorId="0" shapeId="0">
      <text>
        <t>Interest = MAX(0, Opening * 10.75%/12)</t>
      </text>
    </comment>
    <comment ref="F238" authorId="0" shapeId="0">
      <text>
        <t>Principal = MAX(0, MIN(Opening, $1,279.13 - Interest))</t>
      </text>
    </comment>
    <comment ref="G238" authorId="0" shapeId="0">
      <text>
        <t>Closing = MAX(0, Opening - Principal)</t>
      </text>
    </comment>
    <comment ref="E239" authorId="0" shapeId="0">
      <text>
        <t>Interest = MAX(0, Opening * 10.75%/12)</t>
      </text>
    </comment>
    <comment ref="F239" authorId="0" shapeId="0">
      <text>
        <t>Principal = MAX(0, MIN(Opening, $1,279.13 - Interest))</t>
      </text>
    </comment>
    <comment ref="G239" authorId="0" shapeId="0">
      <text>
        <t>Closing = MAX(0, Opening - Principal)</t>
      </text>
    </comment>
    <comment ref="E240" authorId="0" shapeId="0">
      <text>
        <t>Interest = MAX(0, Opening * 10.75%/12)</t>
      </text>
    </comment>
    <comment ref="F240" authorId="0" shapeId="0">
      <text>
        <t>Principal = MAX(0, MIN(Opening, $1,279.13 - Interest))</t>
      </text>
    </comment>
    <comment ref="G240" authorId="0" shapeId="0">
      <text>
        <t>Closing = MAX(0, Opening - Principal)</t>
      </text>
    </comment>
    <comment ref="E241" authorId="0" shapeId="0">
      <text>
        <t>Interest = MAX(0, Opening * 10.75%/12)</t>
      </text>
    </comment>
    <comment ref="F241" authorId="0" shapeId="0">
      <text>
        <t>Principal = MAX(0, MIN(Opening, $1,279.13 - Interest))</t>
      </text>
    </comment>
    <comment ref="G241" authorId="0" shapeId="0">
      <text>
        <t>Closing = MAX(0, Opening - Principal)</t>
      </text>
    </comment>
    <comment ref="E242" authorId="0" shapeId="0">
      <text>
        <t>Interest = MAX(0, Opening * 10.75%/12)</t>
      </text>
    </comment>
    <comment ref="F242" authorId="0" shapeId="0">
      <text>
        <t>Principal = MAX(0, MIN(Opening, $1,279.13 - Interest))</t>
      </text>
    </comment>
    <comment ref="G242" authorId="0" shapeId="0">
      <text>
        <t>Closing = MAX(0, Opening - Principal)</t>
      </text>
    </comment>
    <comment ref="E243" authorId="0" shapeId="0">
      <text>
        <t>Interest = MAX(0, Opening * 10.75%/12)</t>
      </text>
    </comment>
    <comment ref="F243" authorId="0" shapeId="0">
      <text>
        <t>Principal = MAX(0, MIN(Opening, $1,279.13 - Interest))</t>
      </text>
    </comment>
    <comment ref="G243" authorId="0" shapeId="0">
      <text>
        <t>Closing = MAX(0, Opening - Principal)</t>
      </text>
    </comment>
    <comment ref="E244" authorId="0" shapeId="0">
      <text>
        <t>Interest = MAX(0, Opening * 10.75%/12)</t>
      </text>
    </comment>
    <comment ref="F244" authorId="0" shapeId="0">
      <text>
        <t>Principal = MAX(0, MIN(Opening, $1,279.13 - Interest))</t>
      </text>
    </comment>
    <comment ref="G244" authorId="0" shapeId="0">
      <text>
        <t>Closing = MAX(0, Opening - Principal)</t>
      </text>
    </comment>
    <comment ref="E245" authorId="0" shapeId="0">
      <text>
        <t>Interest = MAX(0, Opening * 10.75%/12)</t>
      </text>
    </comment>
    <comment ref="F245" authorId="0" shapeId="0">
      <text>
        <t>Principal = MAX(0, MIN(Opening, $1,279.13 - Interest))</t>
      </text>
    </comment>
    <comment ref="G245" authorId="0" shapeId="0">
      <text>
        <t>Closing = MAX(0, Opening - Principal)</t>
      </text>
    </comment>
    <comment ref="E246" authorId="0" shapeId="0">
      <text>
        <t>Interest = MAX(0, Opening * 10.75%/12)</t>
      </text>
    </comment>
    <comment ref="F246" authorId="0" shapeId="0">
      <text>
        <t>Principal = MAX(0, MIN(Opening, $1,279.13 - Interest))</t>
      </text>
    </comment>
    <comment ref="G246" authorId="0" shapeId="0">
      <text>
        <t>Closing = MAX(0, Opening - Principal)</t>
      </text>
    </comment>
    <comment ref="E247" authorId="0" shapeId="0">
      <text>
        <t>Interest = MAX(0, Opening * 10.75%/12)</t>
      </text>
    </comment>
    <comment ref="F247" authorId="0" shapeId="0">
      <text>
        <t>Principal = MAX(0, MIN(Opening, $1,279.13 - Interest))</t>
      </text>
    </comment>
    <comment ref="G247" authorId="0" shapeId="0">
      <text>
        <t>Closing = MAX(0, Opening - Principal)</t>
      </text>
    </comment>
    <comment ref="E248" authorId="0" shapeId="0">
      <text>
        <t>Interest = MAX(0, Opening * 10.75%/12)</t>
      </text>
    </comment>
    <comment ref="F248" authorId="0" shapeId="0">
      <text>
        <t>Principal = MAX(0, MIN(Opening, $1,279.13 - Interest))</t>
      </text>
    </comment>
    <comment ref="G248" authorId="0" shapeId="0">
      <text>
        <t>Closing = MAX(0, Opening - Principal)</t>
      </text>
    </comment>
    <comment ref="E249" authorId="0" shapeId="0">
      <text>
        <t>Interest = MAX(0, Opening * 10.75%/12)</t>
      </text>
    </comment>
    <comment ref="F249" authorId="0" shapeId="0">
      <text>
        <t>Principal = MAX(0, MIN(Opening, $1,279.13 - Interest))</t>
      </text>
    </comment>
    <comment ref="G249" authorId="0" shapeId="0">
      <text>
        <t>Closing = MAX(0, Opening - Principal)</t>
      </text>
    </comment>
    <comment ref="E250" authorId="0" shapeId="0">
      <text>
        <t>Interest = MAX(0, Opening * 10.75%/12)</t>
      </text>
    </comment>
    <comment ref="F250" authorId="0" shapeId="0">
      <text>
        <t>Principal = MAX(0, MIN(Opening, $1,279.13 - Interest))</t>
      </text>
    </comment>
    <comment ref="G250" authorId="0" shapeId="0">
      <text>
        <t>Closing = MAX(0, Opening - Principal)</t>
      </text>
    </comment>
    <comment ref="E251" authorId="0" shapeId="0">
      <text>
        <t>Interest = MAX(0, Opening * 10.75%/12)</t>
      </text>
    </comment>
    <comment ref="F251" authorId="0" shapeId="0">
      <text>
        <t>Principal = MAX(0, MIN(Opening, $1,279.13 - Interest))</t>
      </text>
    </comment>
    <comment ref="G251" authorId="0" shapeId="0">
      <text>
        <t>Closing = MAX(0, Opening - Principal)</t>
      </text>
    </comment>
    <comment ref="E252" authorId="0" shapeId="0">
      <text>
        <t>Interest = MAX(0, Opening * 10.75%/12)</t>
      </text>
    </comment>
    <comment ref="F252" authorId="0" shapeId="0">
      <text>
        <t>Principal = MAX(0, MIN(Opening, $1,279.13 - Interest))</t>
      </text>
    </comment>
    <comment ref="G252" authorId="0" shapeId="0">
      <text>
        <t>Closing = MAX(0, Opening - Principal)</t>
      </text>
    </comment>
    <comment ref="E253" authorId="0" shapeId="0">
      <text>
        <t>Interest = MAX(0, Opening * 10.75%/12)</t>
      </text>
    </comment>
    <comment ref="F253" authorId="0" shapeId="0">
      <text>
        <t>Principal = MAX(0, MIN(Opening, $1,279.13 - Interest))</t>
      </text>
    </comment>
    <comment ref="G253" authorId="0" shapeId="0">
      <text>
        <t>Closing = MAX(0, Opening - Principal)</t>
      </text>
    </comment>
    <comment ref="E254" authorId="0" shapeId="0">
      <text>
        <t>Interest = MAX(0, Opening * 10.75%/12)</t>
      </text>
    </comment>
    <comment ref="F254" authorId="0" shapeId="0">
      <text>
        <t>Principal = MAX(0, MIN(Opening, $1,279.13 - Interest))</t>
      </text>
    </comment>
    <comment ref="G254" authorId="0" shapeId="0">
      <text>
        <t>Closing = MAX(0, Opening - Principal)</t>
      </text>
    </comment>
    <comment ref="E255" authorId="0" shapeId="0">
      <text>
        <t>Interest = MAX(0, Opening * 10.75%/12)</t>
      </text>
    </comment>
    <comment ref="F255" authorId="0" shapeId="0">
      <text>
        <t>Principal = MAX(0, MIN(Opening, $1,279.13 - Interest))</t>
      </text>
    </comment>
    <comment ref="G255" authorId="0" shapeId="0">
      <text>
        <t>Closing = MAX(0, Opening - Principal)</t>
      </text>
    </comment>
    <comment ref="E256" authorId="0" shapeId="0">
      <text>
        <t>Interest = MAX(0, Opening * 10.75%/12)</t>
      </text>
    </comment>
    <comment ref="F256" authorId="0" shapeId="0">
      <text>
        <t>Principal = MAX(0, MIN(Opening, $1,279.13 - Interest))</t>
      </text>
    </comment>
    <comment ref="G256" authorId="0" shapeId="0">
      <text>
        <t>Closing = MAX(0, Opening - Principal)</t>
      </text>
    </comment>
    <comment ref="E257" authorId="0" shapeId="0">
      <text>
        <t>Interest = MAX(0, Opening * 10.75%/12)</t>
      </text>
    </comment>
    <comment ref="F257" authorId="0" shapeId="0">
      <text>
        <t>Principal = MAX(0, MIN(Opening, $1,279.13 - Interest))</t>
      </text>
    </comment>
    <comment ref="G257" authorId="0" shapeId="0">
      <text>
        <t>Closing = MAX(0, Opening - Principal)</t>
      </text>
    </comment>
    <comment ref="E258" authorId="0" shapeId="0">
      <text>
        <t>Interest = MAX(0, Opening * 10.75%/12)</t>
      </text>
    </comment>
    <comment ref="F258" authorId="0" shapeId="0">
      <text>
        <t>Principal = MAX(0, MIN(Opening, $1,279.13 - Interest))</t>
      </text>
    </comment>
    <comment ref="G258" authorId="0" shapeId="0">
      <text>
        <t>Closing = MAX(0, Opening - Principal)</t>
      </text>
    </comment>
    <comment ref="E259" authorId="0" shapeId="0">
      <text>
        <t>Interest = MAX(0, Opening * 10.75%/12)</t>
      </text>
    </comment>
    <comment ref="F259" authorId="0" shapeId="0">
      <text>
        <t>Principal = MAX(0, MIN(Opening, $1,279.13 - Interest))</t>
      </text>
    </comment>
    <comment ref="G259" authorId="0" shapeId="0">
      <text>
        <t>Closing = MAX(0, Opening - Principal)</t>
      </text>
    </comment>
    <comment ref="E260" authorId="0" shapeId="0">
      <text>
        <t>Interest = MAX(0, Opening * 10.75%/12)</t>
      </text>
    </comment>
    <comment ref="F260" authorId="0" shapeId="0">
      <text>
        <t>Principal = MAX(0, MIN(Opening, $1,279.13 - Interest))</t>
      </text>
    </comment>
    <comment ref="G260" authorId="0" shapeId="0">
      <text>
        <t>Closing = MAX(0, Opening - Principal)</t>
      </text>
    </comment>
    <comment ref="E261" authorId="0" shapeId="0">
      <text>
        <t>Interest = MAX(0, Opening * 10.75%/12)</t>
      </text>
    </comment>
    <comment ref="F261" authorId="0" shapeId="0">
      <text>
        <t>Principal = MAX(0, MIN(Opening, $1,279.13 - Interest))</t>
      </text>
    </comment>
    <comment ref="G261" authorId="0" shapeId="0">
      <text>
        <t>Closing = MAX(0, Opening - Principal)</t>
      </text>
    </comment>
    <comment ref="E262" authorId="0" shapeId="0">
      <text>
        <t>Interest = MAX(0, Opening * 10.75%/12)</t>
      </text>
    </comment>
    <comment ref="F262" authorId="0" shapeId="0">
      <text>
        <t>Principal = MAX(0, MIN(Opening, $1,279.13 - Interest))</t>
      </text>
    </comment>
    <comment ref="G262" authorId="0" shapeId="0">
      <text>
        <t>Closing = MAX(0, Opening - Principal)</t>
      </text>
    </comment>
    <comment ref="E263" authorId="0" shapeId="0">
      <text>
        <t>Sum of rows 193-262: Total interest over loan term</t>
      </text>
    </comment>
    <comment ref="F263" authorId="0" shapeId="0">
      <text>
        <t>Sum of rows 193-262: Total principal over loan term</t>
      </text>
    </comment>
    <comment ref="C272" authorId="0" shapeId="0">
      <text>
        <t>Loan: Daimler Truck Financial, AMORTIZING.
Source: Meiborg_Debt_Schedule_202511.xlsx</t>
      </text>
    </comment>
    <comment ref="C274" authorId="0" shapeId="0">
      <text>
        <t>Rate as stated in source document.</t>
      </text>
    </comment>
    <comment ref="D282" authorId="0" shapeId="0">
      <text>
        <t>Starting balance as of Nov 2025.
Source: Meiborg_Debt_Schedule_202511.xlsx</t>
      </text>
    </comment>
    <comment ref="E282" authorId="0" shapeId="0">
      <text>
        <t>Interest = MAX(0, Opening * 12.99%/12)</t>
      </text>
    </comment>
    <comment ref="F282" authorId="0" shapeId="0">
      <text>
        <t>Principal = MAX(0, MIN(Opening, $6,523.75 - Interest))</t>
      </text>
    </comment>
    <comment ref="G282" authorId="0" shapeId="0">
      <text>
        <t>Closing = MAX(0, Opening - Principal)</t>
      </text>
    </comment>
    <comment ref="E283" authorId="0" shapeId="0">
      <text>
        <t>Interest = MAX(0, Opening * 12.99%/12)</t>
      </text>
    </comment>
    <comment ref="F283" authorId="0" shapeId="0">
      <text>
        <t>Principal = MAX(0, MIN(Opening, $6,523.75 - Interest))</t>
      </text>
    </comment>
    <comment ref="G283" authorId="0" shapeId="0">
      <text>
        <t>Closing = MAX(0, Opening - Principal)</t>
      </text>
    </comment>
    <comment ref="E284" authorId="0" shapeId="0">
      <text>
        <t>Interest = MAX(0, Opening * 12.99%/12)</t>
      </text>
    </comment>
    <comment ref="F284" authorId="0" shapeId="0">
      <text>
        <t>Principal = MAX(0, MIN(Opening, $6,523.75 - Interest))</t>
      </text>
    </comment>
    <comment ref="G284" authorId="0" shapeId="0">
      <text>
        <t>Closing = MAX(0, Opening - Principal)</t>
      </text>
    </comment>
    <comment ref="E285" authorId="0" shapeId="0">
      <text>
        <t>Interest = MAX(0, Opening * 12.99%/12)</t>
      </text>
    </comment>
    <comment ref="F285" authorId="0" shapeId="0">
      <text>
        <t>Principal = MAX(0, MIN(Opening, $6,523.75 - Interest))</t>
      </text>
    </comment>
    <comment ref="G285" authorId="0" shapeId="0">
      <text>
        <t>Closing = MAX(0, Opening - Principal)</t>
      </text>
    </comment>
    <comment ref="E286" authorId="0" shapeId="0">
      <text>
        <t>Interest = MAX(0, Opening * 12.99%/12)</t>
      </text>
    </comment>
    <comment ref="F286" authorId="0" shapeId="0">
      <text>
        <t>Principal = MAX(0, MIN(Opening, $6,523.75 - Interest))</t>
      </text>
    </comment>
    <comment ref="G286" authorId="0" shapeId="0">
      <text>
        <t>Closing = MAX(0, Opening - Principal)</t>
      </text>
    </comment>
    <comment ref="E287" authorId="0" shapeId="0">
      <text>
        <t>Interest = MAX(0, Opening * 12.99%/12)</t>
      </text>
    </comment>
    <comment ref="F287" authorId="0" shapeId="0">
      <text>
        <t>Principal = MAX(0, MIN(Opening, $6,523.75 - Interest))</t>
      </text>
    </comment>
    <comment ref="G287" authorId="0" shapeId="0">
      <text>
        <t>Closing = MAX(0, Opening - Principal)</t>
      </text>
    </comment>
    <comment ref="E288" authorId="0" shapeId="0">
      <text>
        <t>Interest = MAX(0, Opening * 12.99%/12)</t>
      </text>
    </comment>
    <comment ref="F288" authorId="0" shapeId="0">
      <text>
        <t>Principal = MAX(0, MIN(Opening, $6,523.75 - Interest))</t>
      </text>
    </comment>
    <comment ref="G288" authorId="0" shapeId="0">
      <text>
        <t>Closing = MAX(0, Opening - Principal)</t>
      </text>
    </comment>
    <comment ref="E289" authorId="0" shapeId="0">
      <text>
        <t>Interest = MAX(0, Opening * 12.99%/12)</t>
      </text>
    </comment>
    <comment ref="F289" authorId="0" shapeId="0">
      <text>
        <t>Principal = MAX(0, MIN(Opening, $6,523.75 - Interest))</t>
      </text>
    </comment>
    <comment ref="G289" authorId="0" shapeId="0">
      <text>
        <t>Closing = MAX(0, Opening - Principal)</t>
      </text>
    </comment>
    <comment ref="E290" authorId="0" shapeId="0">
      <text>
        <t>Interest = MAX(0, Opening * 12.99%/12)</t>
      </text>
    </comment>
    <comment ref="F290" authorId="0" shapeId="0">
      <text>
        <t>Principal = MAX(0, MIN(Opening, $6,523.75 - Interest))</t>
      </text>
    </comment>
    <comment ref="G290" authorId="0" shapeId="0">
      <text>
        <t>Closing = MAX(0, Opening - Principal)</t>
      </text>
    </comment>
    <comment ref="E291" authorId="0" shapeId="0">
      <text>
        <t>Interest = MAX(0, Opening * 12.99%/12)</t>
      </text>
    </comment>
    <comment ref="F291" authorId="0" shapeId="0">
      <text>
        <t>Principal = MAX(0, MIN(Opening, $6,523.75 - Interest))</t>
      </text>
    </comment>
    <comment ref="G291" authorId="0" shapeId="0">
      <text>
        <t>Closing = MAX(0, Opening - Principal)</t>
      </text>
    </comment>
    <comment ref="E292" authorId="0" shapeId="0">
      <text>
        <t>Interest = MAX(0, Opening * 12.99%/12)</t>
      </text>
    </comment>
    <comment ref="F292" authorId="0" shapeId="0">
      <text>
        <t>Principal = MAX(0, MIN(Opening, $6,523.75 - Interest))</t>
      </text>
    </comment>
    <comment ref="G292" authorId="0" shapeId="0">
      <text>
        <t>Closing = MAX(0, Opening - Principal)</t>
      </text>
    </comment>
    <comment ref="E293" authorId="0" shapeId="0">
      <text>
        <t>Interest = MAX(0, Opening * 12.99%/12)</t>
      </text>
    </comment>
    <comment ref="F293" authorId="0" shapeId="0">
      <text>
        <t>Principal = MAX(0, MIN(Opening, $6,523.75 - Interest))</t>
      </text>
    </comment>
    <comment ref="G293" authorId="0" shapeId="0">
      <text>
        <t>Closing = MAX(0, Opening - Principal)</t>
      </text>
    </comment>
    <comment ref="E294" authorId="0" shapeId="0">
      <text>
        <t>Interest = MAX(0, Opening * 12.99%/12)</t>
      </text>
    </comment>
    <comment ref="F294" authorId="0" shapeId="0">
      <text>
        <t>Principal = MAX(0, MIN(Opening, $6,523.75 - Interest))</t>
      </text>
    </comment>
    <comment ref="G294" authorId="0" shapeId="0">
      <text>
        <t>Closing = MAX(0, Opening - Principal)</t>
      </text>
    </comment>
    <comment ref="E295" authorId="0" shapeId="0">
      <text>
        <t>Interest = MAX(0, Opening * 12.99%/12)</t>
      </text>
    </comment>
    <comment ref="F295" authorId="0" shapeId="0">
      <text>
        <t>Principal = MAX(0, MIN(Opening, $6,523.75 - Interest))</t>
      </text>
    </comment>
    <comment ref="G295" authorId="0" shapeId="0">
      <text>
        <t>Closing = MAX(0, Opening - Principal)</t>
      </text>
    </comment>
    <comment ref="E296" authorId="0" shapeId="0">
      <text>
        <t>Interest = MAX(0, Opening * 12.99%/12)</t>
      </text>
    </comment>
    <comment ref="F296" authorId="0" shapeId="0">
      <text>
        <t>Principal = MAX(0, MIN(Opening, $6,523.75 - Interest))</t>
      </text>
    </comment>
    <comment ref="G296" authorId="0" shapeId="0">
      <text>
        <t>Closing = MAX(0, Opening - Principal)</t>
      </text>
    </comment>
    <comment ref="E297" authorId="0" shapeId="0">
      <text>
        <t>Interest = MAX(0, Opening * 12.99%/12)</t>
      </text>
    </comment>
    <comment ref="F297" authorId="0" shapeId="0">
      <text>
        <t>Principal = MAX(0, MIN(Opening, $6,523.75 - Interest))</t>
      </text>
    </comment>
    <comment ref="G297" authorId="0" shapeId="0">
      <text>
        <t>Closing = MAX(0, Opening - Principal)</t>
      </text>
    </comment>
    <comment ref="E298" authorId="0" shapeId="0">
      <text>
        <t>Interest = MAX(0, Opening * 12.99%/12)</t>
      </text>
    </comment>
    <comment ref="F298" authorId="0" shapeId="0">
      <text>
        <t>Principal = MAX(0, MIN(Opening, $6,523.75 - Interest))</t>
      </text>
    </comment>
    <comment ref="G298" authorId="0" shapeId="0">
      <text>
        <t>Closing = MAX(0, Opening - Principal)</t>
      </text>
    </comment>
    <comment ref="E299" authorId="0" shapeId="0">
      <text>
        <t>Interest = MAX(0, Opening * 12.99%/12)</t>
      </text>
    </comment>
    <comment ref="F299" authorId="0" shapeId="0">
      <text>
        <t>Principal = MAX(0, MIN(Opening, $6,523.75 - Interest))</t>
      </text>
    </comment>
    <comment ref="G299" authorId="0" shapeId="0">
      <text>
        <t>Closing = MAX(0, Opening - Principal)</t>
      </text>
    </comment>
    <comment ref="E300" authorId="0" shapeId="0">
      <text>
        <t>Interest = MAX(0, Opening * 12.99%/12)</t>
      </text>
    </comment>
    <comment ref="F300" authorId="0" shapeId="0">
      <text>
        <t>Principal = MAX(0, MIN(Opening, $6,523.75 - Interest))</t>
      </text>
    </comment>
    <comment ref="G300" authorId="0" shapeId="0">
      <text>
        <t>Closing = MAX(0, Opening - Principal)</t>
      </text>
    </comment>
    <comment ref="E301" authorId="0" shapeId="0">
      <text>
        <t>Interest = MAX(0, Opening * 12.99%/12)</t>
      </text>
    </comment>
    <comment ref="F301" authorId="0" shapeId="0">
      <text>
        <t>Principal = MAX(0, MIN(Opening, $6,523.75 - Interest))</t>
      </text>
    </comment>
    <comment ref="G301" authorId="0" shapeId="0">
      <text>
        <t>Closing = MAX(0, Opening - Principal)</t>
      </text>
    </comment>
    <comment ref="E302" authorId="0" shapeId="0">
      <text>
        <t>Interest = MAX(0, Opening * 12.99%/12)</t>
      </text>
    </comment>
    <comment ref="F302" authorId="0" shapeId="0">
      <text>
        <t>Principal = MAX(0, MIN(Opening, $6,523.75 - Interest))</t>
      </text>
    </comment>
    <comment ref="G302" authorId="0" shapeId="0">
      <text>
        <t>Closing = MAX(0, Opening - Principal)</t>
      </text>
    </comment>
    <comment ref="E303" authorId="0" shapeId="0">
      <text>
        <t>Interest = MAX(0, Opening * 12.99%/12)</t>
      </text>
    </comment>
    <comment ref="F303" authorId="0" shapeId="0">
      <text>
        <t>Principal = MAX(0, MIN(Opening, $6,523.75 - Interest))</t>
      </text>
    </comment>
    <comment ref="G303" authorId="0" shapeId="0">
      <text>
        <t>Closing = MAX(0, Opening - Principal)</t>
      </text>
    </comment>
    <comment ref="E304" authorId="0" shapeId="0">
      <text>
        <t>Interest = MAX(0, Opening * 12.99%/12)</t>
      </text>
    </comment>
    <comment ref="F304" authorId="0" shapeId="0">
      <text>
        <t>Principal = MAX(0, MIN(Opening, $6,523.75 - Interest))</t>
      </text>
    </comment>
    <comment ref="G304" authorId="0" shapeId="0">
      <text>
        <t>Closing = MAX(0, Opening - Principal)</t>
      </text>
    </comment>
    <comment ref="E305" authorId="0" shapeId="0">
      <text>
        <t>Interest = MAX(0, Opening * 12.99%/12)</t>
      </text>
    </comment>
    <comment ref="F305" authorId="0" shapeId="0">
      <text>
        <t>Principal = MAX(0, MIN(Opening, $6,523.75 - Interest))</t>
      </text>
    </comment>
    <comment ref="G305" authorId="0" shapeId="0">
      <text>
        <t>Closing = MAX(0, Opening - Principal)</t>
      </text>
    </comment>
    <comment ref="E306" authorId="0" shapeId="0">
      <text>
        <t>Interest = MAX(0, Opening * 12.99%/12)</t>
      </text>
    </comment>
    <comment ref="F306" authorId="0" shapeId="0">
      <text>
        <t>Principal = MAX(0, MIN(Opening, $6,523.75 - Interest))</t>
      </text>
    </comment>
    <comment ref="G306" authorId="0" shapeId="0">
      <text>
        <t>Closing = MAX(0, Opening - Principal)</t>
      </text>
    </comment>
    <comment ref="E307" authorId="0" shapeId="0">
      <text>
        <t>Interest = MAX(0, Opening * 12.99%/12)</t>
      </text>
    </comment>
    <comment ref="F307" authorId="0" shapeId="0">
      <text>
        <t>Principal = MAX(0, MIN(Opening, $6,523.75 - Interest))</t>
      </text>
    </comment>
    <comment ref="G307" authorId="0" shapeId="0">
      <text>
        <t>Closing = MAX(0, Opening - Principal)</t>
      </text>
    </comment>
    <comment ref="E308" authorId="0" shapeId="0">
      <text>
        <t>Interest = MAX(0, Opening * 12.99%/12)</t>
      </text>
    </comment>
    <comment ref="F308" authorId="0" shapeId="0">
      <text>
        <t>Principal = MAX(0, MIN(Opening, $6,523.75 - Interest))</t>
      </text>
    </comment>
    <comment ref="G308" authorId="0" shapeId="0">
      <text>
        <t>Closing = MAX(0, Opening - Principal)</t>
      </text>
    </comment>
    <comment ref="E309" authorId="0" shapeId="0">
      <text>
        <t>Interest = MAX(0, Opening * 12.99%/12)</t>
      </text>
    </comment>
    <comment ref="F309" authorId="0" shapeId="0">
      <text>
        <t>Principal = MAX(0, MIN(Opening, $6,523.75 - Interest))</t>
      </text>
    </comment>
    <comment ref="G309" authorId="0" shapeId="0">
      <text>
        <t>Closing = MAX(0, Opening - Principal)</t>
      </text>
    </comment>
    <comment ref="E310" authorId="0" shapeId="0">
      <text>
        <t>Interest = MAX(0, Opening * 12.99%/12)</t>
      </text>
    </comment>
    <comment ref="F310" authorId="0" shapeId="0">
      <text>
        <t>Principal = MAX(0, MIN(Opening, $6,523.75 - Interest))</t>
      </text>
    </comment>
    <comment ref="G310" authorId="0" shapeId="0">
      <text>
        <t>Closing = MAX(0, Opening - Principal)</t>
      </text>
    </comment>
    <comment ref="E311" authorId="0" shapeId="0">
      <text>
        <t>Interest = MAX(0, Opening * 12.99%/12)</t>
      </text>
    </comment>
    <comment ref="F311" authorId="0" shapeId="0">
      <text>
        <t>Principal = MAX(0, MIN(Opening, $6,523.75 - Interest))</t>
      </text>
    </comment>
    <comment ref="G311" authorId="0" shapeId="0">
      <text>
        <t>Closing = MAX(0, Opening - Principal)</t>
      </text>
    </comment>
    <comment ref="E312" authorId="0" shapeId="0">
      <text>
        <t>Interest = MAX(0, Opening * 12.99%/12)</t>
      </text>
    </comment>
    <comment ref="F312" authorId="0" shapeId="0">
      <text>
        <t>Principal = MAX(0, MIN(Opening, $6,523.75 - Interest))</t>
      </text>
    </comment>
    <comment ref="G312" authorId="0" shapeId="0">
      <text>
        <t>Closing = MAX(0, Opening - Principal)</t>
      </text>
    </comment>
    <comment ref="E313" authorId="0" shapeId="0">
      <text>
        <t>Interest = MAX(0, Opening * 12.99%/12)</t>
      </text>
    </comment>
    <comment ref="F313" authorId="0" shapeId="0">
      <text>
        <t>Principal = MAX(0, MIN(Opening, $6,523.75 - Interest))</t>
      </text>
    </comment>
    <comment ref="G313" authorId="0" shapeId="0">
      <text>
        <t>Closing = MAX(0, Opening - Principal)</t>
      </text>
    </comment>
    <comment ref="E314" authorId="0" shapeId="0">
      <text>
        <t>Interest = MAX(0, Opening * 12.99%/12)</t>
      </text>
    </comment>
    <comment ref="F314" authorId="0" shapeId="0">
      <text>
        <t>Principal = MAX(0, MIN(Opening, $6,523.75 - Interest))</t>
      </text>
    </comment>
    <comment ref="G314" authorId="0" shapeId="0">
      <text>
        <t>Closing = MAX(0, Opening - Principal)</t>
      </text>
    </comment>
    <comment ref="E315" authorId="0" shapeId="0">
      <text>
        <t>Interest = MAX(0, Opening * 12.99%/12)</t>
      </text>
    </comment>
    <comment ref="F315" authorId="0" shapeId="0">
      <text>
        <t>Principal = MAX(0, MIN(Opening, $6,523.75 - Interest))</t>
      </text>
    </comment>
    <comment ref="G315" authorId="0" shapeId="0">
      <text>
        <t>Closing = MAX(0, Opening - Principal)</t>
      </text>
    </comment>
    <comment ref="E316" authorId="0" shapeId="0">
      <text>
        <t>Interest = MAX(0, Opening * 12.99%/12)</t>
      </text>
    </comment>
    <comment ref="F316" authorId="0" shapeId="0">
      <text>
        <t>Principal = MAX(0, MIN(Opening, $6,523.75 - Interest))</t>
      </text>
    </comment>
    <comment ref="G316" authorId="0" shapeId="0">
      <text>
        <t>Closing = MAX(0, Opening - Principal)</t>
      </text>
    </comment>
    <comment ref="E317" authorId="0" shapeId="0">
      <text>
        <t>Interest = MAX(0, Opening * 12.99%/12)</t>
      </text>
    </comment>
    <comment ref="F317" authorId="0" shapeId="0">
      <text>
        <t>Principal = MAX(0, MIN(Opening, $6,523.75 - Interest))</t>
      </text>
    </comment>
    <comment ref="G317" authorId="0" shapeId="0">
      <text>
        <t>Closing = MAX(0, Opening - Principal)</t>
      </text>
    </comment>
    <comment ref="E318" authorId="0" shapeId="0">
      <text>
        <t>Interest = MAX(0, Opening * 12.99%/12)</t>
      </text>
    </comment>
    <comment ref="F318" authorId="0" shapeId="0">
      <text>
        <t>Principal = MAX(0, MIN(Opening, $6,523.75 - Interest))</t>
      </text>
    </comment>
    <comment ref="G318" authorId="0" shapeId="0">
      <text>
        <t>Closing = MAX(0, Opening - Principal)</t>
      </text>
    </comment>
    <comment ref="E319" authorId="0" shapeId="0">
      <text>
        <t>Interest = MAX(0, Opening * 12.99%/12)</t>
      </text>
    </comment>
    <comment ref="F319" authorId="0" shapeId="0">
      <text>
        <t>Principal = MAX(0, MIN(Opening, $6,523.75 - Interest))</t>
      </text>
    </comment>
    <comment ref="G319" authorId="0" shapeId="0">
      <text>
        <t>Closing = MAX(0, Opening - Principal)</t>
      </text>
    </comment>
    <comment ref="E320" authorId="0" shapeId="0">
      <text>
        <t>Interest = MAX(0, Opening * 12.99%/12)</t>
      </text>
    </comment>
    <comment ref="F320" authorId="0" shapeId="0">
      <text>
        <t>Principal = MAX(0, MIN(Opening, $6,523.75 - Interest))</t>
      </text>
    </comment>
    <comment ref="G320" authorId="0" shapeId="0">
      <text>
        <t>Closing = MAX(0, Opening - Principal)</t>
      </text>
    </comment>
    <comment ref="E321" authorId="0" shapeId="0">
      <text>
        <t>Interest = MAX(0, Opening * 12.99%/12)</t>
      </text>
    </comment>
    <comment ref="F321" authorId="0" shapeId="0">
      <text>
        <t>Principal = MAX(0, MIN(Opening, $6,523.75 - Interest))</t>
      </text>
    </comment>
    <comment ref="G321" authorId="0" shapeId="0">
      <text>
        <t>Closing = MAX(0, Opening - Principal)</t>
      </text>
    </comment>
    <comment ref="E322" authorId="0" shapeId="0">
      <text>
        <t>Interest = MAX(0, Opening * 12.99%/12)</t>
      </text>
    </comment>
    <comment ref="F322" authorId="0" shapeId="0">
      <text>
        <t>Principal = MAX(0, MIN(Opening, $6,523.75 - Interest))</t>
      </text>
    </comment>
    <comment ref="G322" authorId="0" shapeId="0">
      <text>
        <t>Closing = MAX(0, Opening - Principal)</t>
      </text>
    </comment>
    <comment ref="E323" authorId="0" shapeId="0">
      <text>
        <t>Interest = MAX(0, Opening * 12.99%/12)</t>
      </text>
    </comment>
    <comment ref="F323" authorId="0" shapeId="0">
      <text>
        <t>Principal = MAX(0, MIN(Opening, $6,523.75 - Interest))</t>
      </text>
    </comment>
    <comment ref="G323" authorId="0" shapeId="0">
      <text>
        <t>Closing = MAX(0, Opening - Principal)</t>
      </text>
    </comment>
    <comment ref="E324" authorId="0" shapeId="0">
      <text>
        <t>Interest = MAX(0, Opening * 12.99%/12)</t>
      </text>
    </comment>
    <comment ref="F324" authorId="0" shapeId="0">
      <text>
        <t>Principal = MAX(0, MIN(Opening, $6,523.75 - Interest))</t>
      </text>
    </comment>
    <comment ref="G324" authorId="0" shapeId="0">
      <text>
        <t>Closing = MAX(0, Opening - Principal)</t>
      </text>
    </comment>
    <comment ref="E325" authorId="0" shapeId="0">
      <text>
        <t>Interest = MAX(0, Opening * 12.99%/12)</t>
      </text>
    </comment>
    <comment ref="F325" authorId="0" shapeId="0">
      <text>
        <t>Principal = MAX(0, MIN(Opening, $6,523.75 - Interest))</t>
      </text>
    </comment>
    <comment ref="G325" authorId="0" shapeId="0">
      <text>
        <t>Closing = MAX(0, Opening - Principal)</t>
      </text>
    </comment>
    <comment ref="E326" authorId="0" shapeId="0">
      <text>
        <t>Interest = MAX(0, Opening * 12.99%/12)</t>
      </text>
    </comment>
    <comment ref="F326" authorId="0" shapeId="0">
      <text>
        <t>Principal = MAX(0, MIN(Opening, $6,523.75 - Interest))</t>
      </text>
    </comment>
    <comment ref="G326" authorId="0" shapeId="0">
      <text>
        <t>Closing = MAX(0, Opening - Principal)</t>
      </text>
    </comment>
    <comment ref="E327" authorId="0" shapeId="0">
      <text>
        <t>Interest = MAX(0, Opening * 12.99%/12)</t>
      </text>
    </comment>
    <comment ref="F327" authorId="0" shapeId="0">
      <text>
        <t>Principal = MAX(0, MIN(Opening, $6,523.75 - Interest))</t>
      </text>
    </comment>
    <comment ref="G327" authorId="0" shapeId="0">
      <text>
        <t>Closing = MAX(0, Opening - Principal)</t>
      </text>
    </comment>
    <comment ref="E328" authorId="0" shapeId="0">
      <text>
        <t>Interest = MAX(0, Opening * 12.99%/12)</t>
      </text>
    </comment>
    <comment ref="F328" authorId="0" shapeId="0">
      <text>
        <t>Principal = MAX(0, MIN(Opening, $6,523.75 - Interest))</t>
      </text>
    </comment>
    <comment ref="G328" authorId="0" shapeId="0">
      <text>
        <t>Closing = MAX(0, Opening - Principal)</t>
      </text>
    </comment>
    <comment ref="E329" authorId="0" shapeId="0">
      <text>
        <t>Sum of rows 282-328: Total interest over loan term</t>
      </text>
    </comment>
    <comment ref="F329" authorId="0" shapeId="0">
      <text>
        <t>Sum of rows 282-328: Total principal over loan term</t>
      </text>
    </comment>
    <comment ref="C338" authorId="0" shapeId="0">
      <text>
        <t>Loan: JX Financial, AMORTIZING.
Source: Meiborg_Debt_Schedule_202511.xlsx</t>
      </text>
    </comment>
    <comment ref="C340" authorId="0" shapeId="0">
      <text>
        <t>Rate as stated in source document.</t>
      </text>
    </comment>
    <comment ref="D348" authorId="0" shapeId="0">
      <text>
        <t>Starting balance as of Nov 2025.
Source: Meiborg_Debt_Schedule_202511.xlsx</t>
      </text>
    </comment>
    <comment ref="E348" authorId="0" shapeId="0">
      <text>
        <t>Interest = MAX(0, Opening * 9.25%/12)</t>
      </text>
    </comment>
    <comment ref="F348" authorId="0" shapeId="0">
      <text>
        <t>Principal = MAX(0, MIN(Opening, $44,443.39 - Interest))</t>
      </text>
    </comment>
    <comment ref="G348" authorId="0" shapeId="0">
      <text>
        <t>Closing = MAX(0, Opening - Principal)</t>
      </text>
    </comment>
    <comment ref="E349" authorId="0" shapeId="0">
      <text>
        <t>Interest = MAX(0, Opening * 9.25%/12)</t>
      </text>
    </comment>
    <comment ref="F349" authorId="0" shapeId="0">
      <text>
        <t>Principal = MAX(0, MIN(Opening, $44,443.39 - Interest))</t>
      </text>
    </comment>
    <comment ref="G349" authorId="0" shapeId="0">
      <text>
        <t>Closing = MAX(0, Opening - Principal)</t>
      </text>
    </comment>
    <comment ref="E350" authorId="0" shapeId="0">
      <text>
        <t>Interest = MAX(0, Opening * 9.25%/12)</t>
      </text>
    </comment>
    <comment ref="F350" authorId="0" shapeId="0">
      <text>
        <t>Principal = MAX(0, MIN(Opening, $44,443.39 - Interest))</t>
      </text>
    </comment>
    <comment ref="G350" authorId="0" shapeId="0">
      <text>
        <t>Closing = MAX(0, Opening - Principal)</t>
      </text>
    </comment>
    <comment ref="E351" authorId="0" shapeId="0">
      <text>
        <t>Interest = MAX(0, Opening * 9.25%/12)</t>
      </text>
    </comment>
    <comment ref="F351" authorId="0" shapeId="0">
      <text>
        <t>Principal = MAX(0, MIN(Opening, $44,443.39 - Interest))</t>
      </text>
    </comment>
    <comment ref="G351" authorId="0" shapeId="0">
      <text>
        <t>Closing = MAX(0, Opening - Principal)</t>
      </text>
    </comment>
    <comment ref="E352" authorId="0" shapeId="0">
      <text>
        <t>Interest = MAX(0, Opening * 9.25%/12)</t>
      </text>
    </comment>
    <comment ref="F352" authorId="0" shapeId="0">
      <text>
        <t>Principal = MAX(0, MIN(Opening, $44,443.39 - Interest))</t>
      </text>
    </comment>
    <comment ref="G352" authorId="0" shapeId="0">
      <text>
        <t>Closing = MAX(0, Opening - Principal)</t>
      </text>
    </comment>
    <comment ref="E353" authorId="0" shapeId="0">
      <text>
        <t>Interest = MAX(0, Opening * 9.25%/12)</t>
      </text>
    </comment>
    <comment ref="F353" authorId="0" shapeId="0">
      <text>
        <t>Principal = MAX(0, MIN(Opening, $44,443.39 - Interest))</t>
      </text>
    </comment>
    <comment ref="G353" authorId="0" shapeId="0">
      <text>
        <t>Closing = MAX(0, Opening - Principal)</t>
      </text>
    </comment>
    <comment ref="E354" authorId="0" shapeId="0">
      <text>
        <t>Interest = MAX(0, Opening * 9.25%/12)</t>
      </text>
    </comment>
    <comment ref="F354" authorId="0" shapeId="0">
      <text>
        <t>Principal = MAX(0, MIN(Opening, $44,443.39 - Interest))</t>
      </text>
    </comment>
    <comment ref="G354" authorId="0" shapeId="0">
      <text>
        <t>Closing = MAX(0, Opening - Principal)</t>
      </text>
    </comment>
    <comment ref="E355" authorId="0" shapeId="0">
      <text>
        <t>Interest = MAX(0, Opening * 9.25%/12)</t>
      </text>
    </comment>
    <comment ref="F355" authorId="0" shapeId="0">
      <text>
        <t>Principal = MAX(0, MIN(Opening, $44,443.39 - Interest))</t>
      </text>
    </comment>
    <comment ref="G355" authorId="0" shapeId="0">
      <text>
        <t>Closing = MAX(0, Opening - Principal)</t>
      </text>
    </comment>
    <comment ref="E356" authorId="0" shapeId="0">
      <text>
        <t>Interest = MAX(0, Opening * 9.25%/12)</t>
      </text>
    </comment>
    <comment ref="F356" authorId="0" shapeId="0">
      <text>
        <t>Principal = MAX(0, MIN(Opening, $44,443.39 - Interest))</t>
      </text>
    </comment>
    <comment ref="G356" authorId="0" shapeId="0">
      <text>
        <t>Closing = MAX(0, Opening - Principal)</t>
      </text>
    </comment>
    <comment ref="E357" authorId="0" shapeId="0">
      <text>
        <t>Interest = MAX(0, Opening * 9.25%/12)</t>
      </text>
    </comment>
    <comment ref="F357" authorId="0" shapeId="0">
      <text>
        <t>Principal = MAX(0, MIN(Opening, $44,443.39 - Interest))</t>
      </text>
    </comment>
    <comment ref="G357" authorId="0" shapeId="0">
      <text>
        <t>Closing = MAX(0, Opening - Principal)</t>
      </text>
    </comment>
    <comment ref="E358" authorId="0" shapeId="0">
      <text>
        <t>Interest = MAX(0, Opening * 9.25%/12)</t>
      </text>
    </comment>
    <comment ref="F358" authorId="0" shapeId="0">
      <text>
        <t>Principal = MAX(0, MIN(Opening, $44,443.39 - Interest))</t>
      </text>
    </comment>
    <comment ref="G358" authorId="0" shapeId="0">
      <text>
        <t>Closing = MAX(0, Opening - Principal)</t>
      </text>
    </comment>
    <comment ref="E359" authorId="0" shapeId="0">
      <text>
        <t>Interest = MAX(0, Opening * 9.25%/12)</t>
      </text>
    </comment>
    <comment ref="F359" authorId="0" shapeId="0">
      <text>
        <t>Principal = MAX(0, MIN(Opening, $44,443.39 - Interest))</t>
      </text>
    </comment>
    <comment ref="G359" authorId="0" shapeId="0">
      <text>
        <t>Closing = MAX(0, Opening - Principal)</t>
      </text>
    </comment>
    <comment ref="E360" authorId="0" shapeId="0">
      <text>
        <t>Interest = MAX(0, Opening * 9.25%/12)</t>
      </text>
    </comment>
    <comment ref="F360" authorId="0" shapeId="0">
      <text>
        <t>Principal = MAX(0, MIN(Opening, $44,443.39 - Interest))</t>
      </text>
    </comment>
    <comment ref="G360" authorId="0" shapeId="0">
      <text>
        <t>Closing = MAX(0, Opening - Principal)</t>
      </text>
    </comment>
    <comment ref="E361" authorId="0" shapeId="0">
      <text>
        <t>Interest = MAX(0, Opening * 9.25%/12)</t>
      </text>
    </comment>
    <comment ref="F361" authorId="0" shapeId="0">
      <text>
        <t>Principal = MAX(0, MIN(Opening, $44,443.39 - Interest))</t>
      </text>
    </comment>
    <comment ref="G361" authorId="0" shapeId="0">
      <text>
        <t>Closing = MAX(0, Opening - Principal)</t>
      </text>
    </comment>
    <comment ref="E362" authorId="0" shapeId="0">
      <text>
        <t>Interest = MAX(0, Opening * 9.25%/12)</t>
      </text>
    </comment>
    <comment ref="F362" authorId="0" shapeId="0">
      <text>
        <t>Principal = MAX(0, MIN(Opening, $44,443.39 - Interest))</t>
      </text>
    </comment>
    <comment ref="G362" authorId="0" shapeId="0">
      <text>
        <t>Closing = MAX(0, Opening - Principal)</t>
      </text>
    </comment>
    <comment ref="E363" authorId="0" shapeId="0">
      <text>
        <t>Interest = MAX(0, Opening * 9.25%/12)</t>
      </text>
    </comment>
    <comment ref="F363" authorId="0" shapeId="0">
      <text>
        <t>Principal = MAX(0, MIN(Opening, $44,443.39 - Interest))</t>
      </text>
    </comment>
    <comment ref="G363" authorId="0" shapeId="0">
      <text>
        <t>Closing = MAX(0, Opening - Principal)</t>
      </text>
    </comment>
    <comment ref="E364" authorId="0" shapeId="0">
      <text>
        <t>Interest = MAX(0, Opening * 9.25%/12)</t>
      </text>
    </comment>
    <comment ref="F364" authorId="0" shapeId="0">
      <text>
        <t>Principal = MAX(0, MIN(Opening, $44,443.39 - Interest))</t>
      </text>
    </comment>
    <comment ref="G364" authorId="0" shapeId="0">
      <text>
        <t>Closing = MAX(0, Opening - Principal)</t>
      </text>
    </comment>
    <comment ref="E365" authorId="0" shapeId="0">
      <text>
        <t>Interest = MAX(0, Opening * 9.25%/12)</t>
      </text>
    </comment>
    <comment ref="F365" authorId="0" shapeId="0">
      <text>
        <t>Principal = MAX(0, MIN(Opening, $44,443.39 - Interest))</t>
      </text>
    </comment>
    <comment ref="G365" authorId="0" shapeId="0">
      <text>
        <t>Closing = MAX(0, Opening - Principal)</t>
      </text>
    </comment>
    <comment ref="E366" authorId="0" shapeId="0">
      <text>
        <t>Interest = MAX(0, Opening * 9.25%/12)</t>
      </text>
    </comment>
    <comment ref="F366" authorId="0" shapeId="0">
      <text>
        <t>Principal = MAX(0, MIN(Opening, $44,443.39 - Interest))</t>
      </text>
    </comment>
    <comment ref="G366" authorId="0" shapeId="0">
      <text>
        <t>Closing = MAX(0, Opening - Principal)</t>
      </text>
    </comment>
    <comment ref="E367" authorId="0" shapeId="0">
      <text>
        <t>Interest = MAX(0, Opening * 9.25%/12)</t>
      </text>
    </comment>
    <comment ref="F367" authorId="0" shapeId="0">
      <text>
        <t>Principal = MAX(0, MIN(Opening, $44,443.39 - Interest))</t>
      </text>
    </comment>
    <comment ref="G367" authorId="0" shapeId="0">
      <text>
        <t>Closing = MAX(0, Opening - Principal)</t>
      </text>
    </comment>
    <comment ref="E368" authorId="0" shapeId="0">
      <text>
        <t>Interest = MAX(0, Opening * 9.25%/12)</t>
      </text>
    </comment>
    <comment ref="F368" authorId="0" shapeId="0">
      <text>
        <t>Principal = MAX(0, MIN(Opening, $44,443.39 - Interest))</t>
      </text>
    </comment>
    <comment ref="G368" authorId="0" shapeId="0">
      <text>
        <t>Closing = MAX(0, Opening - Principal)</t>
      </text>
    </comment>
    <comment ref="E369" authorId="0" shapeId="0">
      <text>
        <t>Interest = MAX(0, Opening * 9.25%/12)</t>
      </text>
    </comment>
    <comment ref="F369" authorId="0" shapeId="0">
      <text>
        <t>Principal = MAX(0, MIN(Opening, $44,443.39 - Interest))</t>
      </text>
    </comment>
    <comment ref="G369" authorId="0" shapeId="0">
      <text>
        <t>Closing = MAX(0, Opening - Principal)</t>
      </text>
    </comment>
    <comment ref="E370" authorId="0" shapeId="0">
      <text>
        <t>Interest = MAX(0, Opening * 9.25%/12)</t>
      </text>
    </comment>
    <comment ref="F370" authorId="0" shapeId="0">
      <text>
        <t>Principal = MAX(0, MIN(Opening, $44,443.39 - Interest))</t>
      </text>
    </comment>
    <comment ref="G370" authorId="0" shapeId="0">
      <text>
        <t>Closing = MAX(0, Opening - Principal)</t>
      </text>
    </comment>
    <comment ref="E371" authorId="0" shapeId="0">
      <text>
        <t>Interest = MAX(0, Opening * 9.25%/12)</t>
      </text>
    </comment>
    <comment ref="F371" authorId="0" shapeId="0">
      <text>
        <t>Principal = MAX(0, MIN(Opening, $44,443.39 - Interest))</t>
      </text>
    </comment>
    <comment ref="G371" authorId="0" shapeId="0">
      <text>
        <t>Closing = MAX(0, Opening - Principal)</t>
      </text>
    </comment>
    <comment ref="E372" authorId="0" shapeId="0">
      <text>
        <t>Interest = MAX(0, Opening * 9.25%/12)</t>
      </text>
    </comment>
    <comment ref="F372" authorId="0" shapeId="0">
      <text>
        <t>Principal = MAX(0, MIN(Opening, $44,443.39 - Interest))</t>
      </text>
    </comment>
    <comment ref="G372" authorId="0" shapeId="0">
      <text>
        <t>Closing = MAX(0, Opening - Principal)</t>
      </text>
    </comment>
    <comment ref="E373" authorId="0" shapeId="0">
      <text>
        <t>Interest = MAX(0, Opening * 9.25%/12)</t>
      </text>
    </comment>
    <comment ref="F373" authorId="0" shapeId="0">
      <text>
        <t>Principal = MAX(0, MIN(Opening, $44,443.39 - Interest))</t>
      </text>
    </comment>
    <comment ref="G373" authorId="0" shapeId="0">
      <text>
        <t>Closing = MAX(0, Opening - Principal)</t>
      </text>
    </comment>
    <comment ref="E374" authorId="0" shapeId="0">
      <text>
        <t>Interest = MAX(0, Opening * 9.25%/12)</t>
      </text>
    </comment>
    <comment ref="F374" authorId="0" shapeId="0">
      <text>
        <t>Principal = MAX(0, MIN(Opening, $44,443.39 - Interest))</t>
      </text>
    </comment>
    <comment ref="G374" authorId="0" shapeId="0">
      <text>
        <t>Closing = MAX(0, Opening - Principal)</t>
      </text>
    </comment>
    <comment ref="E375" authorId="0" shapeId="0">
      <text>
        <t>Interest = MAX(0, Opening * 9.25%/12)</t>
      </text>
    </comment>
    <comment ref="F375" authorId="0" shapeId="0">
      <text>
        <t>Principal = MAX(0, MIN(Opening, $44,443.39 - Interest))</t>
      </text>
    </comment>
    <comment ref="G375" authorId="0" shapeId="0">
      <text>
        <t>Closing = MAX(0, Opening - Principal)</t>
      </text>
    </comment>
    <comment ref="E376" authorId="0" shapeId="0">
      <text>
        <t>Interest = MAX(0, Opening * 9.25%/12)</t>
      </text>
    </comment>
    <comment ref="F376" authorId="0" shapeId="0">
      <text>
        <t>Principal = MAX(0, MIN(Opening, $44,443.39 - Interest))</t>
      </text>
    </comment>
    <comment ref="G376" authorId="0" shapeId="0">
      <text>
        <t>Closing = MAX(0, Opening - Principal)</t>
      </text>
    </comment>
    <comment ref="E377" authorId="0" shapeId="0">
      <text>
        <t>Interest = MAX(0, Opening * 9.25%/12)</t>
      </text>
    </comment>
    <comment ref="F377" authorId="0" shapeId="0">
      <text>
        <t>Principal = MAX(0, MIN(Opening, $44,443.39 - Interest))</t>
      </text>
    </comment>
    <comment ref="G377" authorId="0" shapeId="0">
      <text>
        <t>Closing = MAX(0, Opening - Principal)</t>
      </text>
    </comment>
    <comment ref="E378" authorId="0" shapeId="0">
      <text>
        <t>Interest = MAX(0, Opening * 9.25%/12)</t>
      </text>
    </comment>
    <comment ref="F378" authorId="0" shapeId="0">
      <text>
        <t>Principal = MAX(0, MIN(Opening, $44,443.39 - Interest))</t>
      </text>
    </comment>
    <comment ref="G378" authorId="0" shapeId="0">
      <text>
        <t>Closing = MAX(0, Opening - Principal)</t>
      </text>
    </comment>
    <comment ref="E379" authorId="0" shapeId="0">
      <text>
        <t>Interest = MAX(0, Opening * 9.25%/12)</t>
      </text>
    </comment>
    <comment ref="F379" authorId="0" shapeId="0">
      <text>
        <t>Principal = MAX(0, MIN(Opening, $44,443.39 - Interest))</t>
      </text>
    </comment>
    <comment ref="G379" authorId="0" shapeId="0">
      <text>
        <t>Closing = MAX(0, Opening - Principal)</t>
      </text>
    </comment>
    <comment ref="E380" authorId="0" shapeId="0">
      <text>
        <t>Interest = MAX(0, Opening * 9.25%/12)</t>
      </text>
    </comment>
    <comment ref="F380" authorId="0" shapeId="0">
      <text>
        <t>Principal = MAX(0, MIN(Opening, $44,443.39 - Interest))</t>
      </text>
    </comment>
    <comment ref="G380" authorId="0" shapeId="0">
      <text>
        <t>Closing = MAX(0, Opening - Principal)</t>
      </text>
    </comment>
    <comment ref="E381" authorId="0" shapeId="0">
      <text>
        <t>Interest = MAX(0, Opening * 9.25%/12)</t>
      </text>
    </comment>
    <comment ref="F381" authorId="0" shapeId="0">
      <text>
        <t>Principal = MAX(0, MIN(Opening, $44,443.39 - Interest))</t>
      </text>
    </comment>
    <comment ref="G381" authorId="0" shapeId="0">
      <text>
        <t>Closing = MAX(0, Opening - Principal)</t>
      </text>
    </comment>
    <comment ref="E382" authorId="0" shapeId="0">
      <text>
        <t>Interest = MAX(0, Opening * 9.25%/12)</t>
      </text>
    </comment>
    <comment ref="F382" authorId="0" shapeId="0">
      <text>
        <t>Principal = MAX(0, MIN(Opening, $44,443.39 - Interest))</t>
      </text>
    </comment>
    <comment ref="G382" authorId="0" shapeId="0">
      <text>
        <t>Closing = MAX(0, Opening - Principal)</t>
      </text>
    </comment>
    <comment ref="E383" authorId="0" shapeId="0">
      <text>
        <t>Interest = MAX(0, Opening * 9.25%/12)</t>
      </text>
    </comment>
    <comment ref="F383" authorId="0" shapeId="0">
      <text>
        <t>Principal = MAX(0, MIN(Opening, $44,443.39 - Interest))</t>
      </text>
    </comment>
    <comment ref="G383" authorId="0" shapeId="0">
      <text>
        <t>Closing = MAX(0, Opening - Principal)</t>
      </text>
    </comment>
    <comment ref="E384" authorId="0" shapeId="0">
      <text>
        <t>Interest = MAX(0, Opening * 9.25%/12)</t>
      </text>
    </comment>
    <comment ref="F384" authorId="0" shapeId="0">
      <text>
        <t>Principal = MAX(0, MIN(Opening, $44,443.39 - Interest))</t>
      </text>
    </comment>
    <comment ref="G384" authorId="0" shapeId="0">
      <text>
        <t>Closing = MAX(0, Opening - Principal)</t>
      </text>
    </comment>
    <comment ref="E385" authorId="0" shapeId="0">
      <text>
        <t>Interest = MAX(0, Opening * 9.25%/12)</t>
      </text>
    </comment>
    <comment ref="F385" authorId="0" shapeId="0">
      <text>
        <t>Principal = MAX(0, MIN(Opening, $44,443.39 - Interest))</t>
      </text>
    </comment>
    <comment ref="G385" authorId="0" shapeId="0">
      <text>
        <t>Closing = MAX(0, Opening - Principal)</t>
      </text>
    </comment>
    <comment ref="E386" authorId="0" shapeId="0">
      <text>
        <t>Interest = MAX(0, Opening * 9.25%/12)</t>
      </text>
    </comment>
    <comment ref="F386" authorId="0" shapeId="0">
      <text>
        <t>Principal = MAX(0, MIN(Opening, $44,443.39 - Interest))</t>
      </text>
    </comment>
    <comment ref="G386" authorId="0" shapeId="0">
      <text>
        <t>Closing = MAX(0, Opening - Principal)</t>
      </text>
    </comment>
    <comment ref="E387" authorId="0" shapeId="0">
      <text>
        <t>Interest = MAX(0, Opening * 9.25%/12)</t>
      </text>
    </comment>
    <comment ref="F387" authorId="0" shapeId="0">
      <text>
        <t>Principal = MAX(0, MIN(Opening, $44,443.39 - Interest))</t>
      </text>
    </comment>
    <comment ref="G387" authorId="0" shapeId="0">
      <text>
        <t>Closing = MAX(0, Opening - Principal)</t>
      </text>
    </comment>
    <comment ref="E388" authorId="0" shapeId="0">
      <text>
        <t>Interest = MAX(0, Opening * 9.25%/12)</t>
      </text>
    </comment>
    <comment ref="F388" authorId="0" shapeId="0">
      <text>
        <t>Principal = MAX(0, MIN(Opening, $44,443.39 - Interest))</t>
      </text>
    </comment>
    <comment ref="G388" authorId="0" shapeId="0">
      <text>
        <t>Closing = MAX(0, Opening - Principal)</t>
      </text>
    </comment>
    <comment ref="E389" authorId="0" shapeId="0">
      <text>
        <t>Interest = MAX(0, Opening * 9.25%/12)</t>
      </text>
    </comment>
    <comment ref="F389" authorId="0" shapeId="0">
      <text>
        <t>Principal = MAX(0, MIN(Opening, $44,443.39 - Interest))</t>
      </text>
    </comment>
    <comment ref="G389" authorId="0" shapeId="0">
      <text>
        <t>Closing = MAX(0, Opening - Principal)</t>
      </text>
    </comment>
    <comment ref="E390" authorId="0" shapeId="0">
      <text>
        <t>Interest = MAX(0, Opening * 9.25%/12)</t>
      </text>
    </comment>
    <comment ref="F390" authorId="0" shapeId="0">
      <text>
        <t>Principal = MAX(0, MIN(Opening, $44,443.39 - Interest))</t>
      </text>
    </comment>
    <comment ref="G390" authorId="0" shapeId="0">
      <text>
        <t>Closing = MAX(0, Opening - Principal)</t>
      </text>
    </comment>
    <comment ref="E391" authorId="0" shapeId="0">
      <text>
        <t>Interest = MAX(0, Opening * 9.25%/12)</t>
      </text>
    </comment>
    <comment ref="F391" authorId="0" shapeId="0">
      <text>
        <t>Principal = MAX(0, MIN(Opening, $44,443.39 - Interest))</t>
      </text>
    </comment>
    <comment ref="G391" authorId="0" shapeId="0">
      <text>
        <t>Closing = MAX(0, Opening - Principal)</t>
      </text>
    </comment>
    <comment ref="E392" authorId="0" shapeId="0">
      <text>
        <t>Interest = MAX(0, Opening * 9.25%/12)</t>
      </text>
    </comment>
    <comment ref="F392" authorId="0" shapeId="0">
      <text>
        <t>Principal = MAX(0, MIN(Opening, $44,443.39 - Interest))</t>
      </text>
    </comment>
    <comment ref="G392" authorId="0" shapeId="0">
      <text>
        <t>Closing = MAX(0, Opening - Principal)</t>
      </text>
    </comment>
    <comment ref="E393" authorId="0" shapeId="0">
      <text>
        <t>Interest = MAX(0, Opening * 9.25%/12)</t>
      </text>
    </comment>
    <comment ref="F393" authorId="0" shapeId="0">
      <text>
        <t>Principal = MAX(0, MIN(Opening, $44,443.39 - Interest))</t>
      </text>
    </comment>
    <comment ref="G393" authorId="0" shapeId="0">
      <text>
        <t>Closing = MAX(0, Opening - Principal)</t>
      </text>
    </comment>
    <comment ref="E394" authorId="0" shapeId="0">
      <text>
        <t>Interest = MAX(0, Opening * 9.25%/12)</t>
      </text>
    </comment>
    <comment ref="F394" authorId="0" shapeId="0">
      <text>
        <t>Principal = MAX(0, MIN(Opening, $44,443.39 - Interest))</t>
      </text>
    </comment>
    <comment ref="G394" authorId="0" shapeId="0">
      <text>
        <t>Closing = MAX(0, Opening - Principal)</t>
      </text>
    </comment>
    <comment ref="E395" authorId="0" shapeId="0">
      <text>
        <t>Interest = MAX(0, Opening * 9.25%/12)</t>
      </text>
    </comment>
    <comment ref="F395" authorId="0" shapeId="0">
      <text>
        <t>Principal = MAX(0, MIN(Opening, $44,443.39 - Interest))</t>
      </text>
    </comment>
    <comment ref="G395" authorId="0" shapeId="0">
      <text>
        <t>Closing = MAX(0, Opening - Principal)</t>
      </text>
    </comment>
    <comment ref="E396" authorId="0" shapeId="0">
      <text>
        <t>Interest = MAX(0, Opening * 9.25%/12)</t>
      </text>
    </comment>
    <comment ref="F396" authorId="0" shapeId="0">
      <text>
        <t>Principal = MAX(0, MIN(Opening, $44,443.39 - Interest))</t>
      </text>
    </comment>
    <comment ref="G396" authorId="0" shapeId="0">
      <text>
        <t>Closing = MAX(0, Opening - Principal)</t>
      </text>
    </comment>
    <comment ref="E397" authorId="0" shapeId="0">
      <text>
        <t>Interest = MAX(0, Opening * 9.25%/12)</t>
      </text>
    </comment>
    <comment ref="F397" authorId="0" shapeId="0">
      <text>
        <t>Principal = MAX(0, MIN(Opening, $44,443.39 - Interest))</t>
      </text>
    </comment>
    <comment ref="G397" authorId="0" shapeId="0">
      <text>
        <t>Closing = MAX(0, Opening - Principal)</t>
      </text>
    </comment>
    <comment ref="E398" authorId="0" shapeId="0">
      <text>
        <t>Interest = MAX(0, Opening * 9.25%/12)</t>
      </text>
    </comment>
    <comment ref="F398" authorId="0" shapeId="0">
      <text>
        <t>Principal = MAX(0, MIN(Opening, $44,443.39 - Interest))</t>
      </text>
    </comment>
    <comment ref="G398" authorId="0" shapeId="0">
      <text>
        <t>Closing = MAX(0, Opening - Principal)</t>
      </text>
    </comment>
    <comment ref="E399" authorId="0" shapeId="0">
      <text>
        <t>Interest = MAX(0, Opening * 9.25%/12)</t>
      </text>
    </comment>
    <comment ref="F399" authorId="0" shapeId="0">
      <text>
        <t>Principal = MAX(0, MIN(Opening, $44,443.39 - Interest))</t>
      </text>
    </comment>
    <comment ref="G399" authorId="0" shapeId="0">
      <text>
        <t>Closing = MAX(0, Opening - Principal)</t>
      </text>
    </comment>
    <comment ref="E400" authorId="0" shapeId="0">
      <text>
        <t>Interest = MAX(0, Opening * 9.25%/12)</t>
      </text>
    </comment>
    <comment ref="F400" authorId="0" shapeId="0">
      <text>
        <t>Principal = MAX(0, MIN(Opening, $44,443.39 - Interest))</t>
      </text>
    </comment>
    <comment ref="G400" authorId="0" shapeId="0">
      <text>
        <t>Closing = MAX(0, Opening - Principal)</t>
      </text>
    </comment>
    <comment ref="E401" authorId="0" shapeId="0">
      <text>
        <t>Interest = MAX(0, Opening * 9.25%/12)</t>
      </text>
    </comment>
    <comment ref="F401" authorId="0" shapeId="0">
      <text>
        <t>Principal = MAX(0, MIN(Opening, $44,443.39 - Interest))</t>
      </text>
    </comment>
    <comment ref="G401" authorId="0" shapeId="0">
      <text>
        <t>Closing = MAX(0, Opening - Principal)</t>
      </text>
    </comment>
    <comment ref="E402" authorId="0" shapeId="0">
      <text>
        <t>Interest = MAX(0, Opening * 9.25%/12)</t>
      </text>
    </comment>
    <comment ref="F402" authorId="0" shapeId="0">
      <text>
        <t>Principal = MAX(0, MIN(Opening, $44,443.39 - Interest))</t>
      </text>
    </comment>
    <comment ref="G402" authorId="0" shapeId="0">
      <text>
        <t>Closing = MAX(0, Opening - Principal)</t>
      </text>
    </comment>
    <comment ref="E403" authorId="0" shapeId="0">
      <text>
        <t>Interest = MAX(0, Opening * 9.25%/12)</t>
      </text>
    </comment>
    <comment ref="F403" authorId="0" shapeId="0">
      <text>
        <t>Principal = MAX(0, MIN(Opening, $44,443.39 - Interest))</t>
      </text>
    </comment>
    <comment ref="G403" authorId="0" shapeId="0">
      <text>
        <t>Closing = MAX(0, Opening - Principal)</t>
      </text>
    </comment>
    <comment ref="E404" authorId="0" shapeId="0">
      <text>
        <t>Interest = MAX(0, Opening * 9.25%/12)</t>
      </text>
    </comment>
    <comment ref="F404" authorId="0" shapeId="0">
      <text>
        <t>Principal = MAX(0, MIN(Opening, $44,443.39 - Interest))</t>
      </text>
    </comment>
    <comment ref="G404" authorId="0" shapeId="0">
      <text>
        <t>Closing = MAX(0, Opening - Principal)</t>
      </text>
    </comment>
    <comment ref="E405" authorId="0" shapeId="0">
      <text>
        <t>Interest = MAX(0, Opening * 9.25%/12)</t>
      </text>
    </comment>
    <comment ref="F405" authorId="0" shapeId="0">
      <text>
        <t>Principal = MAX(0, MIN(Opening, $44,443.39 - Interest))</t>
      </text>
    </comment>
    <comment ref="G405" authorId="0" shapeId="0">
      <text>
        <t>Closing = MAX(0, Opening - Principal)</t>
      </text>
    </comment>
    <comment ref="E406" authorId="0" shapeId="0">
      <text>
        <t>Interest = MAX(0, Opening * 9.25%/12)</t>
      </text>
    </comment>
    <comment ref="F406" authorId="0" shapeId="0">
      <text>
        <t>Principal = MAX(0, MIN(Opening, $44,443.39 - Interest))</t>
      </text>
    </comment>
    <comment ref="G406" authorId="0" shapeId="0">
      <text>
        <t>Closing = MAX(0, Opening - Principal)</t>
      </text>
    </comment>
    <comment ref="E407" authorId="0" shapeId="0">
      <text>
        <t>Interest = MAX(0, Opening * 9.25%/12)</t>
      </text>
    </comment>
    <comment ref="F407" authorId="0" shapeId="0">
      <text>
        <t>Principal = MAX(0, MIN(Opening, $44,443.39 - Interest))</t>
      </text>
    </comment>
    <comment ref="G407" authorId="0" shapeId="0">
      <text>
        <t>Closing = MAX(0, Opening - Principal)</t>
      </text>
    </comment>
    <comment ref="E408" authorId="0" shapeId="0">
      <text>
        <t>Interest = MAX(0, Opening * 9.25%/12)</t>
      </text>
    </comment>
    <comment ref="F408" authorId="0" shapeId="0">
      <text>
        <t>Principal = MAX(0, MIN(Opening, $44,443.39 - Interest))</t>
      </text>
    </comment>
    <comment ref="G408" authorId="0" shapeId="0">
      <text>
        <t>Closing = MAX(0, Opening - Principal)</t>
      </text>
    </comment>
    <comment ref="E409" authorId="0" shapeId="0">
      <text>
        <t>Interest = MAX(0, Opening * 9.25%/12)</t>
      </text>
    </comment>
    <comment ref="F409" authorId="0" shapeId="0">
      <text>
        <t>Principal = MAX(0, MIN(Opening, $44,443.39 - Interest))</t>
      </text>
    </comment>
    <comment ref="G409" authorId="0" shapeId="0">
      <text>
        <t>Closing = MAX(0, Opening - Principal)</t>
      </text>
    </comment>
    <comment ref="E410" authorId="0" shapeId="0">
      <text>
        <t>Interest = MAX(0, Opening * 9.25%/12)</t>
      </text>
    </comment>
    <comment ref="F410" authorId="0" shapeId="0">
      <text>
        <t>Principal = MAX(0, MIN(Opening, $44,443.39 - Interest))</t>
      </text>
    </comment>
    <comment ref="G410" authorId="0" shapeId="0">
      <text>
        <t>Closing = MAX(0, Opening - Principal)</t>
      </text>
    </comment>
    <comment ref="E411" authorId="0" shapeId="0">
      <text>
        <t>Interest = MAX(0, Opening * 9.25%/12)</t>
      </text>
    </comment>
    <comment ref="F411" authorId="0" shapeId="0">
      <text>
        <t>Principal = MAX(0, MIN(Opening, $44,443.39 - Interest))</t>
      </text>
    </comment>
    <comment ref="G411" authorId="0" shapeId="0">
      <text>
        <t>Closing = MAX(0, Opening - Principal)</t>
      </text>
    </comment>
    <comment ref="E412" authorId="0" shapeId="0">
      <text>
        <t>Interest = MAX(0, Opening * 9.25%/12)</t>
      </text>
    </comment>
    <comment ref="F412" authorId="0" shapeId="0">
      <text>
        <t>Principal = MAX(0, MIN(Opening, $44,443.39 - Interest))</t>
      </text>
    </comment>
    <comment ref="G412" authorId="0" shapeId="0">
      <text>
        <t>Closing = MAX(0, Opening - Principal)</t>
      </text>
    </comment>
    <comment ref="E413" authorId="0" shapeId="0">
      <text>
        <t>Interest = MAX(0, Opening * 9.25%/12)</t>
      </text>
    </comment>
    <comment ref="F413" authorId="0" shapeId="0">
      <text>
        <t>Principal = MAX(0, MIN(Opening, $44,443.39 - Interest))</t>
      </text>
    </comment>
    <comment ref="G413" authorId="0" shapeId="0">
      <text>
        <t>Closing = MAX(0, Opening - Principal)</t>
      </text>
    </comment>
    <comment ref="E414" authorId="0" shapeId="0">
      <text>
        <t>Interest = MAX(0, Opening * 9.25%/12)</t>
      </text>
    </comment>
    <comment ref="F414" authorId="0" shapeId="0">
      <text>
        <t>Principal = MAX(0, MIN(Opening, $44,443.39 - Interest))</t>
      </text>
    </comment>
    <comment ref="G414" authorId="0" shapeId="0">
      <text>
        <t>Closing = MAX(0, Opening - Principal)</t>
      </text>
    </comment>
    <comment ref="E415" authorId="0" shapeId="0">
      <text>
        <t>Interest = MAX(0, Opening * 9.25%/12)</t>
      </text>
    </comment>
    <comment ref="F415" authorId="0" shapeId="0">
      <text>
        <t>Principal = MAX(0, MIN(Opening, $44,443.39 - Interest))</t>
      </text>
    </comment>
    <comment ref="G415" authorId="0" shapeId="0">
      <text>
        <t>Closing = MAX(0, Opening - Principal)</t>
      </text>
    </comment>
    <comment ref="E416" authorId="0" shapeId="0">
      <text>
        <t>Interest = MAX(0, Opening * 9.25%/12)</t>
      </text>
    </comment>
    <comment ref="F416" authorId="0" shapeId="0">
      <text>
        <t>Principal = MAX(0, MIN(Opening, $44,443.39 - Interest))</t>
      </text>
    </comment>
    <comment ref="G416" authorId="0" shapeId="0">
      <text>
        <t>Closing = MAX(0, Opening - Principal)</t>
      </text>
    </comment>
    <comment ref="E417" authorId="0" shapeId="0">
      <text>
        <t>Interest = MAX(0, Opening * 9.25%/12)</t>
      </text>
    </comment>
    <comment ref="F417" authorId="0" shapeId="0">
      <text>
        <t>Principal = MAX(0, MIN(Opening, $44,443.39 - Interest))</t>
      </text>
    </comment>
    <comment ref="G417" authorId="0" shapeId="0">
      <text>
        <t>Closing = MAX(0, Opening - Principal)</t>
      </text>
    </comment>
    <comment ref="E418" authorId="0" shapeId="0">
      <text>
        <t>Interest = MAX(0, Opening * 9.25%/12)</t>
      </text>
    </comment>
    <comment ref="F418" authorId="0" shapeId="0">
      <text>
        <t>Principal = MAX(0, MIN(Opening, $44,443.39 - Interest))</t>
      </text>
    </comment>
    <comment ref="G418" authorId="0" shapeId="0">
      <text>
        <t>Closing = MAX(0, Opening - Principal)</t>
      </text>
    </comment>
    <comment ref="E419" authorId="0" shapeId="0">
      <text>
        <t>Sum of rows 348-418: Total interest over loan term</t>
      </text>
    </comment>
    <comment ref="F419" authorId="0" shapeId="0">
      <text>
        <t>Sum of rows 348-418: Total principal over loan term</t>
      </text>
    </comment>
    <comment ref="C428" authorId="0" shapeId="0">
      <text>
        <t>Loan: FPG (First Pacific Group), AMORTIZING.
Source: Meiborg_Debt_Schedule_202511.xlsx</t>
      </text>
    </comment>
    <comment ref="C430" authorId="0" shapeId="0">
      <text>
        <t>Rate as stated in source document.</t>
      </text>
    </comment>
    <comment ref="D438" authorId="0" shapeId="0">
      <text>
        <t>Starting balance as of Nov 2025.
Source: Meiborg_Debt_Schedule_202511.xlsx</t>
      </text>
    </comment>
    <comment ref="E438" authorId="0" shapeId="0">
      <text>
        <t>Interest = MAX(0, Opening * 12.23%/12)</t>
      </text>
    </comment>
    <comment ref="F438" authorId="0" shapeId="0">
      <text>
        <t>Principal = MAX(0, MIN(Opening, $1,064.65 - Interest))</t>
      </text>
    </comment>
    <comment ref="G438" authorId="0" shapeId="0">
      <text>
        <t>Closing = MAX(0, Opening - Principal)</t>
      </text>
    </comment>
    <comment ref="E439" authorId="0" shapeId="0">
      <text>
        <t>Interest = MAX(0, Opening * 12.23%/12)</t>
      </text>
    </comment>
    <comment ref="F439" authorId="0" shapeId="0">
      <text>
        <t>Principal = MAX(0, MIN(Opening, $1,064.65 - Interest))</t>
      </text>
    </comment>
    <comment ref="G439" authorId="0" shapeId="0">
      <text>
        <t>Closing = MAX(0, Opening - Principal)</t>
      </text>
    </comment>
    <comment ref="E440" authorId="0" shapeId="0">
      <text>
        <t>Interest = MAX(0, Opening * 12.23%/12)</t>
      </text>
    </comment>
    <comment ref="F440" authorId="0" shapeId="0">
      <text>
        <t>Principal = MAX(0, MIN(Opening, $1,064.65 - Interest))</t>
      </text>
    </comment>
    <comment ref="G440" authorId="0" shapeId="0">
      <text>
        <t>Closing = MAX(0, Opening - Principal)</t>
      </text>
    </comment>
    <comment ref="E441" authorId="0" shapeId="0">
      <text>
        <t>Interest = MAX(0, Opening * 12.23%/12)</t>
      </text>
    </comment>
    <comment ref="F441" authorId="0" shapeId="0">
      <text>
        <t>Principal = MAX(0, MIN(Opening, $1,064.65 - Interest))</t>
      </text>
    </comment>
    <comment ref="G441" authorId="0" shapeId="0">
      <text>
        <t>Closing = MAX(0, Opening - Principal)</t>
      </text>
    </comment>
    <comment ref="E442" authorId="0" shapeId="0">
      <text>
        <t>Interest = MAX(0, Opening * 12.23%/12)</t>
      </text>
    </comment>
    <comment ref="F442" authorId="0" shapeId="0">
      <text>
        <t>Principal = MAX(0, MIN(Opening, $1,064.65 - Interest))</t>
      </text>
    </comment>
    <comment ref="G442" authorId="0" shapeId="0">
      <text>
        <t>Closing = MAX(0, Opening - Principal)</t>
      </text>
    </comment>
    <comment ref="E443" authorId="0" shapeId="0">
      <text>
        <t>Interest = MAX(0, Opening * 12.23%/12)</t>
      </text>
    </comment>
    <comment ref="F443" authorId="0" shapeId="0">
      <text>
        <t>Principal = MAX(0, MIN(Opening, $1,064.65 - Interest))</t>
      </text>
    </comment>
    <comment ref="G443" authorId="0" shapeId="0">
      <text>
        <t>Closing = MAX(0, Opening - Principal)</t>
      </text>
    </comment>
    <comment ref="E444" authorId="0" shapeId="0">
      <text>
        <t>Interest = MAX(0, Opening * 12.23%/12)</t>
      </text>
    </comment>
    <comment ref="F444" authorId="0" shapeId="0">
      <text>
        <t>Principal = MAX(0, MIN(Opening, $1,064.65 - Interest))</t>
      </text>
    </comment>
    <comment ref="G444" authorId="0" shapeId="0">
      <text>
        <t>Closing = MAX(0, Opening - Principal)</t>
      </text>
    </comment>
    <comment ref="E445" authorId="0" shapeId="0">
      <text>
        <t>Interest = MAX(0, Opening * 12.23%/12)</t>
      </text>
    </comment>
    <comment ref="F445" authorId="0" shapeId="0">
      <text>
        <t>Principal = MAX(0, MIN(Opening, $1,064.65 - Interest))</t>
      </text>
    </comment>
    <comment ref="G445" authorId="0" shapeId="0">
      <text>
        <t>Closing = MAX(0, Opening - Principal)</t>
      </text>
    </comment>
    <comment ref="E446" authorId="0" shapeId="0">
      <text>
        <t>Interest = MAX(0, Opening * 12.23%/12)</t>
      </text>
    </comment>
    <comment ref="F446" authorId="0" shapeId="0">
      <text>
        <t>Principal = MAX(0, MIN(Opening, $1,064.65 - Interest))</t>
      </text>
    </comment>
    <comment ref="G446" authorId="0" shapeId="0">
      <text>
        <t>Closing = MAX(0, Opening - Principal)</t>
      </text>
    </comment>
    <comment ref="E447" authorId="0" shapeId="0">
      <text>
        <t>Interest = MAX(0, Opening * 12.23%/12)</t>
      </text>
    </comment>
    <comment ref="F447" authorId="0" shapeId="0">
      <text>
        <t>Principal = MAX(0, MIN(Opening, $1,064.65 - Interest))</t>
      </text>
    </comment>
    <comment ref="G447" authorId="0" shapeId="0">
      <text>
        <t>Closing = MAX(0, Opening - Principal)</t>
      </text>
    </comment>
    <comment ref="E448" authorId="0" shapeId="0">
      <text>
        <t>Interest = MAX(0, Opening * 12.23%/12)</t>
      </text>
    </comment>
    <comment ref="F448" authorId="0" shapeId="0">
      <text>
        <t>Principal = MAX(0, MIN(Opening, $1,064.65 - Interest))</t>
      </text>
    </comment>
    <comment ref="G448" authorId="0" shapeId="0">
      <text>
        <t>Closing = MAX(0, Opening - Principal)</t>
      </text>
    </comment>
    <comment ref="E449" authorId="0" shapeId="0">
      <text>
        <t>Interest = MAX(0, Opening * 12.23%/12)</t>
      </text>
    </comment>
    <comment ref="F449" authorId="0" shapeId="0">
      <text>
        <t>Principal = MAX(0, MIN(Opening, $1,064.65 - Interest))</t>
      </text>
    </comment>
    <comment ref="G449" authorId="0" shapeId="0">
      <text>
        <t>Closing = MAX(0, Opening - Principal)</t>
      </text>
    </comment>
    <comment ref="E450" authorId="0" shapeId="0">
      <text>
        <t>Interest = MAX(0, Opening * 12.23%/12)</t>
      </text>
    </comment>
    <comment ref="F450" authorId="0" shapeId="0">
      <text>
        <t>Principal = MAX(0, MIN(Opening, $1,064.65 - Interest))</t>
      </text>
    </comment>
    <comment ref="G450" authorId="0" shapeId="0">
      <text>
        <t>Closing = MAX(0, Opening - Principal)</t>
      </text>
    </comment>
    <comment ref="E451" authorId="0" shapeId="0">
      <text>
        <t>Interest = MAX(0, Opening * 12.23%/12)</t>
      </text>
    </comment>
    <comment ref="F451" authorId="0" shapeId="0">
      <text>
        <t>Principal = MAX(0, MIN(Opening, $1,064.65 - Interest))</t>
      </text>
    </comment>
    <comment ref="G451" authorId="0" shapeId="0">
      <text>
        <t>Closing = MAX(0, Opening - Principal)</t>
      </text>
    </comment>
    <comment ref="E452" authorId="0" shapeId="0">
      <text>
        <t>Interest = MAX(0, Opening * 12.23%/12)</t>
      </text>
    </comment>
    <comment ref="F452" authorId="0" shapeId="0">
      <text>
        <t>Principal = MAX(0, MIN(Opening, $1,064.65 - Interest))</t>
      </text>
    </comment>
    <comment ref="G452" authorId="0" shapeId="0">
      <text>
        <t>Closing = MAX(0, Opening - Principal)</t>
      </text>
    </comment>
    <comment ref="E453" authorId="0" shapeId="0">
      <text>
        <t>Interest = MAX(0, Opening * 12.23%/12)</t>
      </text>
    </comment>
    <comment ref="F453" authorId="0" shapeId="0">
      <text>
        <t>Principal = MAX(0, MIN(Opening, $1,064.65 - Interest))</t>
      </text>
    </comment>
    <comment ref="G453" authorId="0" shapeId="0">
      <text>
        <t>Closing = MAX(0, Opening - Principal)</t>
      </text>
    </comment>
    <comment ref="E454" authorId="0" shapeId="0">
      <text>
        <t>Interest = MAX(0, Opening * 12.23%/12)</t>
      </text>
    </comment>
    <comment ref="F454" authorId="0" shapeId="0">
      <text>
        <t>Principal = MAX(0, MIN(Opening, $1,064.65 - Interest))</t>
      </text>
    </comment>
    <comment ref="G454" authorId="0" shapeId="0">
      <text>
        <t>Closing = MAX(0, Opening - Principal)</t>
      </text>
    </comment>
    <comment ref="E455" authorId="0" shapeId="0">
      <text>
        <t>Interest = MAX(0, Opening * 12.23%/12)</t>
      </text>
    </comment>
    <comment ref="F455" authorId="0" shapeId="0">
      <text>
        <t>Principal = MAX(0, MIN(Opening, $1,064.65 - Interest))</t>
      </text>
    </comment>
    <comment ref="G455" authorId="0" shapeId="0">
      <text>
        <t>Closing = MAX(0, Opening - Principal)</t>
      </text>
    </comment>
    <comment ref="E456" authorId="0" shapeId="0">
      <text>
        <t>Interest = MAX(0, Opening * 12.23%/12)</t>
      </text>
    </comment>
    <comment ref="F456" authorId="0" shapeId="0">
      <text>
        <t>Principal = MAX(0, MIN(Opening, $1,064.65 - Interest))</t>
      </text>
    </comment>
    <comment ref="G456" authorId="0" shapeId="0">
      <text>
        <t>Closing = MAX(0, Opening - Principal)</t>
      </text>
    </comment>
    <comment ref="E457" authorId="0" shapeId="0">
      <text>
        <t>Interest = MAX(0, Opening * 12.23%/12)</t>
      </text>
    </comment>
    <comment ref="F457" authorId="0" shapeId="0">
      <text>
        <t>Principal = MAX(0, MIN(Opening, $1,064.65 - Interest))</t>
      </text>
    </comment>
    <comment ref="G457" authorId="0" shapeId="0">
      <text>
        <t>Closing = MAX(0, Opening - Principal)</t>
      </text>
    </comment>
    <comment ref="E458" authorId="0" shapeId="0">
      <text>
        <t>Interest = MAX(0, Opening * 12.23%/12)</t>
      </text>
    </comment>
    <comment ref="F458" authorId="0" shapeId="0">
      <text>
        <t>Principal = MAX(0, MIN(Opening, $1,064.65 - Interest))</t>
      </text>
    </comment>
    <comment ref="G458" authorId="0" shapeId="0">
      <text>
        <t>Closing = MAX(0, Opening - Principal)</t>
      </text>
    </comment>
    <comment ref="E459" authorId="0" shapeId="0">
      <text>
        <t>Interest = MAX(0, Opening * 12.23%/12)</t>
      </text>
    </comment>
    <comment ref="F459" authorId="0" shapeId="0">
      <text>
        <t>Principal = MAX(0, MIN(Opening, $1,064.65 - Interest))</t>
      </text>
    </comment>
    <comment ref="G459" authorId="0" shapeId="0">
      <text>
        <t>Closing = MAX(0, Opening - Principal)</t>
      </text>
    </comment>
    <comment ref="E460" authorId="0" shapeId="0">
      <text>
        <t>Interest = MAX(0, Opening * 12.23%/12)</t>
      </text>
    </comment>
    <comment ref="F460" authorId="0" shapeId="0">
      <text>
        <t>Principal = MAX(0, MIN(Opening, $1,064.65 - Interest))</t>
      </text>
    </comment>
    <comment ref="G460" authorId="0" shapeId="0">
      <text>
        <t>Closing = MAX(0, Opening - Principal)</t>
      </text>
    </comment>
    <comment ref="E461" authorId="0" shapeId="0">
      <text>
        <t>Interest = MAX(0, Opening * 12.23%/12)</t>
      </text>
    </comment>
    <comment ref="F461" authorId="0" shapeId="0">
      <text>
        <t>Principal = MAX(0, MIN(Opening, $1,064.65 - Interest))</t>
      </text>
    </comment>
    <comment ref="G461" authorId="0" shapeId="0">
      <text>
        <t>Closing = MAX(0, Opening - Principal)</t>
      </text>
    </comment>
    <comment ref="E462" authorId="0" shapeId="0">
      <text>
        <t>Interest = MAX(0, Opening * 12.23%/12)</t>
      </text>
    </comment>
    <comment ref="F462" authorId="0" shapeId="0">
      <text>
        <t>Principal = MAX(0, MIN(Opening, $1,064.65 - Interest))</t>
      </text>
    </comment>
    <comment ref="G462" authorId="0" shapeId="0">
      <text>
        <t>Closing = MAX(0, Opening - Principal)</t>
      </text>
    </comment>
    <comment ref="E463" authorId="0" shapeId="0">
      <text>
        <t>Interest = MAX(0, Opening * 12.23%/12)</t>
      </text>
    </comment>
    <comment ref="F463" authorId="0" shapeId="0">
      <text>
        <t>Principal = MAX(0, MIN(Opening, $1,064.65 - Interest))</t>
      </text>
    </comment>
    <comment ref="G463" authorId="0" shapeId="0">
      <text>
        <t>Closing = MAX(0, Opening - Principal)</t>
      </text>
    </comment>
    <comment ref="E464" authorId="0" shapeId="0">
      <text>
        <t>Interest = MAX(0, Opening * 12.23%/12)</t>
      </text>
    </comment>
    <comment ref="F464" authorId="0" shapeId="0">
      <text>
        <t>Principal = MAX(0, MIN(Opening, $1,064.65 - Interest))</t>
      </text>
    </comment>
    <comment ref="G464" authorId="0" shapeId="0">
      <text>
        <t>Closing = MAX(0, Opening - Principal)</t>
      </text>
    </comment>
    <comment ref="E465" authorId="0" shapeId="0">
      <text>
        <t>Interest = MAX(0, Opening * 12.23%/12)</t>
      </text>
    </comment>
    <comment ref="F465" authorId="0" shapeId="0">
      <text>
        <t>Principal = MAX(0, MIN(Opening, $1,064.65 - Interest))</t>
      </text>
    </comment>
    <comment ref="G465" authorId="0" shapeId="0">
      <text>
        <t>Closing = MAX(0, Opening - Principal)</t>
      </text>
    </comment>
    <comment ref="E466" authorId="0" shapeId="0">
      <text>
        <t>Interest = MAX(0, Opening * 12.23%/12)</t>
      </text>
    </comment>
    <comment ref="F466" authorId="0" shapeId="0">
      <text>
        <t>Principal = MAX(0, MIN(Opening, $1,064.65 - Interest))</t>
      </text>
    </comment>
    <comment ref="G466" authorId="0" shapeId="0">
      <text>
        <t>Closing = MAX(0, Opening - Principal)</t>
      </text>
    </comment>
    <comment ref="E467" authorId="0" shapeId="0">
      <text>
        <t>Interest = MAX(0, Opening * 12.23%/12)</t>
      </text>
    </comment>
    <comment ref="F467" authorId="0" shapeId="0">
      <text>
        <t>Principal = MAX(0, MIN(Opening, $1,064.65 - Interest))</t>
      </text>
    </comment>
    <comment ref="G467" authorId="0" shapeId="0">
      <text>
        <t>Closing = MAX(0, Opening - Principal)</t>
      </text>
    </comment>
    <comment ref="E468" authorId="0" shapeId="0">
      <text>
        <t>Interest = MAX(0, Opening * 12.23%/12)</t>
      </text>
    </comment>
    <comment ref="F468" authorId="0" shapeId="0">
      <text>
        <t>Principal = MAX(0, MIN(Opening, $1,064.65 - Interest))</t>
      </text>
    </comment>
    <comment ref="G468" authorId="0" shapeId="0">
      <text>
        <t>Closing = MAX(0, Opening - Principal)</t>
      </text>
    </comment>
    <comment ref="E469" authorId="0" shapeId="0">
      <text>
        <t>Interest = MAX(0, Opening * 12.23%/12)</t>
      </text>
    </comment>
    <comment ref="F469" authorId="0" shapeId="0">
      <text>
        <t>Principal = MAX(0, MIN(Opening, $1,064.65 - Interest))</t>
      </text>
    </comment>
    <comment ref="G469" authorId="0" shapeId="0">
      <text>
        <t>Closing = MAX(0, Opening - Principal)</t>
      </text>
    </comment>
    <comment ref="E470" authorId="0" shapeId="0">
      <text>
        <t>Interest = MAX(0, Opening * 12.23%/12)</t>
      </text>
    </comment>
    <comment ref="F470" authorId="0" shapeId="0">
      <text>
        <t>Principal = MAX(0, MIN(Opening, $1,064.65 - Interest))</t>
      </text>
    </comment>
    <comment ref="G470" authorId="0" shapeId="0">
      <text>
        <t>Closing = MAX(0, Opening - Principal)</t>
      </text>
    </comment>
    <comment ref="E471" authorId="0" shapeId="0">
      <text>
        <t>Interest = MAX(0, Opening * 12.23%/12)</t>
      </text>
    </comment>
    <comment ref="F471" authorId="0" shapeId="0">
      <text>
        <t>Principal = MAX(0, MIN(Opening, $1,064.65 - Interest))</t>
      </text>
    </comment>
    <comment ref="G471" authorId="0" shapeId="0">
      <text>
        <t>Closing = MAX(0, Opening - Principal)</t>
      </text>
    </comment>
    <comment ref="E472" authorId="0" shapeId="0">
      <text>
        <t>Sum of rows 438-471: Total interest over loan term</t>
      </text>
    </comment>
    <comment ref="F472" authorId="0" shapeId="0">
      <text>
        <t>Sum of rows 438-471: Total principal over loan term</t>
      </text>
    </comment>
    <comment ref="C481" authorId="0" shapeId="0">
      <text>
        <t>Loan: Bank of America, AMORTIZING.
Source: Meiborg_Debt_Schedule_202511.xlsx</t>
      </text>
    </comment>
    <comment ref="C483" authorId="0" shapeId="0">
      <text>
        <t>Rate as stated in source document.</t>
      </text>
    </comment>
    <comment ref="D491" authorId="0" shapeId="0">
      <text>
        <t>Starting balance as of Nov 2025.
Source: Meiborg_Debt_Schedule_202511.xlsx</t>
      </text>
    </comment>
    <comment ref="E491" authorId="0" shapeId="0">
      <text>
        <t>Interest = MAX(0, Opening * 8.29%/12)</t>
      </text>
    </comment>
    <comment ref="F491" authorId="0" shapeId="0">
      <text>
        <t>Principal = MAX(0, MIN(Opening, $3,481.99 - Interest))</t>
      </text>
    </comment>
    <comment ref="G491" authorId="0" shapeId="0">
      <text>
        <t>Closing = MAX(0, Opening - Principal)</t>
      </text>
    </comment>
    <comment ref="E492" authorId="0" shapeId="0">
      <text>
        <t>Interest = MAX(0, Opening * 8.29%/12)</t>
      </text>
    </comment>
    <comment ref="F492" authorId="0" shapeId="0">
      <text>
        <t>Principal = MAX(0, MIN(Opening, $3,481.99 - Interest))</t>
      </text>
    </comment>
    <comment ref="G492" authorId="0" shapeId="0">
      <text>
        <t>Closing = MAX(0, Opening - Principal)</t>
      </text>
    </comment>
    <comment ref="E493" authorId="0" shapeId="0">
      <text>
        <t>Interest = MAX(0, Opening * 8.29%/12)</t>
      </text>
    </comment>
    <comment ref="F493" authorId="0" shapeId="0">
      <text>
        <t>Principal = MAX(0, MIN(Opening, $3,481.99 - Interest))</t>
      </text>
    </comment>
    <comment ref="G493" authorId="0" shapeId="0">
      <text>
        <t>Closing = MAX(0, Opening - Principal)</t>
      </text>
    </comment>
    <comment ref="E494" authorId="0" shapeId="0">
      <text>
        <t>Interest = MAX(0, Opening * 8.29%/12)</t>
      </text>
    </comment>
    <comment ref="F494" authorId="0" shapeId="0">
      <text>
        <t>Principal = MAX(0, MIN(Opening, $3,481.99 - Interest))</t>
      </text>
    </comment>
    <comment ref="G494" authorId="0" shapeId="0">
      <text>
        <t>Closing = MAX(0, Opening - Principal)</t>
      </text>
    </comment>
    <comment ref="E495" authorId="0" shapeId="0">
      <text>
        <t>Interest = MAX(0, Opening * 8.29%/12)</t>
      </text>
    </comment>
    <comment ref="F495" authorId="0" shapeId="0">
      <text>
        <t>Principal = MAX(0, MIN(Opening, $3,481.99 - Interest))</t>
      </text>
    </comment>
    <comment ref="G495" authorId="0" shapeId="0">
      <text>
        <t>Closing = MAX(0, Opening - Principal)</t>
      </text>
    </comment>
    <comment ref="E496" authorId="0" shapeId="0">
      <text>
        <t>Interest = MAX(0, Opening * 8.29%/12)</t>
      </text>
    </comment>
    <comment ref="F496" authorId="0" shapeId="0">
      <text>
        <t>Principal = MAX(0, MIN(Opening, $3,481.99 - Interest))</t>
      </text>
    </comment>
    <comment ref="G496" authorId="0" shapeId="0">
      <text>
        <t>Closing = MAX(0, Opening - Principal)</t>
      </text>
    </comment>
    <comment ref="E497" authorId="0" shapeId="0">
      <text>
        <t>Interest = MAX(0, Opening * 8.29%/12)</t>
      </text>
    </comment>
    <comment ref="F497" authorId="0" shapeId="0">
      <text>
        <t>Principal = MAX(0, MIN(Opening, $3,481.99 - Interest))</t>
      </text>
    </comment>
    <comment ref="G497" authorId="0" shapeId="0">
      <text>
        <t>Closing = MAX(0, Opening - Principal)</t>
      </text>
    </comment>
    <comment ref="E498" authorId="0" shapeId="0">
      <text>
        <t>Interest = MAX(0, Opening * 8.29%/12)</t>
      </text>
    </comment>
    <comment ref="F498" authorId="0" shapeId="0">
      <text>
        <t>Principal = MAX(0, MIN(Opening, $3,481.99 - Interest))</t>
      </text>
    </comment>
    <comment ref="G498" authorId="0" shapeId="0">
      <text>
        <t>Closing = MAX(0, Opening - Principal)</t>
      </text>
    </comment>
    <comment ref="E499" authorId="0" shapeId="0">
      <text>
        <t>Interest = MAX(0, Opening * 8.29%/12)</t>
      </text>
    </comment>
    <comment ref="F499" authorId="0" shapeId="0">
      <text>
        <t>Principal = MAX(0, MIN(Opening, $3,481.99 - Interest))</t>
      </text>
    </comment>
    <comment ref="G499" authorId="0" shapeId="0">
      <text>
        <t>Closing = MAX(0, Opening - Principal)</t>
      </text>
    </comment>
    <comment ref="E500" authorId="0" shapeId="0">
      <text>
        <t>Interest = MAX(0, Opening * 8.29%/12)</t>
      </text>
    </comment>
    <comment ref="F500" authorId="0" shapeId="0">
      <text>
        <t>Principal = MAX(0, MIN(Opening, $3,481.99 - Interest))</t>
      </text>
    </comment>
    <comment ref="G500" authorId="0" shapeId="0">
      <text>
        <t>Closing = MAX(0, Opening - Principal)</t>
      </text>
    </comment>
    <comment ref="E501" authorId="0" shapeId="0">
      <text>
        <t>Interest = MAX(0, Opening * 8.29%/12)</t>
      </text>
    </comment>
    <comment ref="F501" authorId="0" shapeId="0">
      <text>
        <t>Principal = MAX(0, MIN(Opening, $3,481.99 - Interest))</t>
      </text>
    </comment>
    <comment ref="G501" authorId="0" shapeId="0">
      <text>
        <t>Closing = MAX(0, Opening - Principal)</t>
      </text>
    </comment>
    <comment ref="E502" authorId="0" shapeId="0">
      <text>
        <t>Interest = MAX(0, Opening * 8.29%/12)</t>
      </text>
    </comment>
    <comment ref="F502" authorId="0" shapeId="0">
      <text>
        <t>Principal = MAX(0, MIN(Opening, $3,481.99 - Interest))</t>
      </text>
    </comment>
    <comment ref="G502" authorId="0" shapeId="0">
      <text>
        <t>Closing = MAX(0, Opening - Principal)</t>
      </text>
    </comment>
    <comment ref="E503" authorId="0" shapeId="0">
      <text>
        <t>Interest = MAX(0, Opening * 8.29%/12)</t>
      </text>
    </comment>
    <comment ref="F503" authorId="0" shapeId="0">
      <text>
        <t>Principal = MAX(0, MIN(Opening, $3,481.99 - Interest))</t>
      </text>
    </comment>
    <comment ref="G503" authorId="0" shapeId="0">
      <text>
        <t>Closing = MAX(0, Opening - Principal)</t>
      </text>
    </comment>
    <comment ref="E504" authorId="0" shapeId="0">
      <text>
        <t>Interest = MAX(0, Opening * 8.29%/12)</t>
      </text>
    </comment>
    <comment ref="F504" authorId="0" shapeId="0">
      <text>
        <t>Principal = MAX(0, MIN(Opening, $3,481.99 - Interest))</t>
      </text>
    </comment>
    <comment ref="G504" authorId="0" shapeId="0">
      <text>
        <t>Closing = MAX(0, Opening - Principal)</t>
      </text>
    </comment>
    <comment ref="E505" authorId="0" shapeId="0">
      <text>
        <t>Interest = MAX(0, Opening * 8.29%/12)</t>
      </text>
    </comment>
    <comment ref="F505" authorId="0" shapeId="0">
      <text>
        <t>Principal = MAX(0, MIN(Opening, $3,481.99 - Interest))</t>
      </text>
    </comment>
    <comment ref="G505" authorId="0" shapeId="0">
      <text>
        <t>Closing = MAX(0, Opening - Principal)</t>
      </text>
    </comment>
    <comment ref="E506" authorId="0" shapeId="0">
      <text>
        <t>Interest = MAX(0, Opening * 8.29%/12)</t>
      </text>
    </comment>
    <comment ref="F506" authorId="0" shapeId="0">
      <text>
        <t>Principal = MAX(0, MIN(Opening, $3,481.99 - Interest))</t>
      </text>
    </comment>
    <comment ref="G506" authorId="0" shapeId="0">
      <text>
        <t>Closing = MAX(0, Opening - Principal)</t>
      </text>
    </comment>
    <comment ref="E507" authorId="0" shapeId="0">
      <text>
        <t>Interest = MAX(0, Opening * 8.29%/12)</t>
      </text>
    </comment>
    <comment ref="F507" authorId="0" shapeId="0">
      <text>
        <t>Principal = MAX(0, MIN(Opening, $3,481.99 - Interest))</t>
      </text>
    </comment>
    <comment ref="G507" authorId="0" shapeId="0">
      <text>
        <t>Closing = MAX(0, Opening - Principal)</t>
      </text>
    </comment>
    <comment ref="E508" authorId="0" shapeId="0">
      <text>
        <t>Interest = MAX(0, Opening * 8.29%/12)</t>
      </text>
    </comment>
    <comment ref="F508" authorId="0" shapeId="0">
      <text>
        <t>Principal = MAX(0, MIN(Opening, $3,481.99 - Interest))</t>
      </text>
    </comment>
    <comment ref="G508" authorId="0" shapeId="0">
      <text>
        <t>Closing = MAX(0, Opening - Principal)</t>
      </text>
    </comment>
    <comment ref="E509" authorId="0" shapeId="0">
      <text>
        <t>Interest = MAX(0, Opening * 8.29%/12)</t>
      </text>
    </comment>
    <comment ref="F509" authorId="0" shapeId="0">
      <text>
        <t>Principal = MAX(0, MIN(Opening, $3,481.99 - Interest))</t>
      </text>
    </comment>
    <comment ref="G509" authorId="0" shapeId="0">
      <text>
        <t>Closing = MAX(0, Opening - Principal)</t>
      </text>
    </comment>
    <comment ref="E510" authorId="0" shapeId="0">
      <text>
        <t>Interest = MAX(0, Opening * 8.29%/12)</t>
      </text>
    </comment>
    <comment ref="F510" authorId="0" shapeId="0">
      <text>
        <t>Principal = MAX(0, MIN(Opening, $3,481.99 - Interest))</t>
      </text>
    </comment>
    <comment ref="G510" authorId="0" shapeId="0">
      <text>
        <t>Closing = MAX(0, Opening - Principal)</t>
      </text>
    </comment>
    <comment ref="E511" authorId="0" shapeId="0">
      <text>
        <t>Interest = MAX(0, Opening * 8.29%/12)</t>
      </text>
    </comment>
    <comment ref="F511" authorId="0" shapeId="0">
      <text>
        <t>Principal = MAX(0, MIN(Opening, $3,481.99 - Interest))</t>
      </text>
    </comment>
    <comment ref="G511" authorId="0" shapeId="0">
      <text>
        <t>Closing = MAX(0, Opening - Principal)</t>
      </text>
    </comment>
    <comment ref="E512" authorId="0" shapeId="0">
      <text>
        <t>Interest = MAX(0, Opening * 8.29%/12)</t>
      </text>
    </comment>
    <comment ref="F512" authorId="0" shapeId="0">
      <text>
        <t>Principal = MAX(0, MIN(Opening, $3,481.99 - Interest))</t>
      </text>
    </comment>
    <comment ref="G512" authorId="0" shapeId="0">
      <text>
        <t>Closing = MAX(0, Opening - Principal)</t>
      </text>
    </comment>
    <comment ref="E513" authorId="0" shapeId="0">
      <text>
        <t>Interest = MAX(0, Opening * 8.29%/12)</t>
      </text>
    </comment>
    <comment ref="F513" authorId="0" shapeId="0">
      <text>
        <t>Principal = MAX(0, MIN(Opening, $3,481.99 - Interest))</t>
      </text>
    </comment>
    <comment ref="G513" authorId="0" shapeId="0">
      <text>
        <t>Closing = MAX(0, Opening - Principal)</t>
      </text>
    </comment>
    <comment ref="E514" authorId="0" shapeId="0">
      <text>
        <t>Interest = MAX(0, Opening * 8.29%/12)</t>
      </text>
    </comment>
    <comment ref="F514" authorId="0" shapeId="0">
      <text>
        <t>Principal = MAX(0, MIN(Opening, $3,481.99 - Interest))</t>
      </text>
    </comment>
    <comment ref="G514" authorId="0" shapeId="0">
      <text>
        <t>Closing = MAX(0, Opening - Principal)</t>
      </text>
    </comment>
    <comment ref="E515" authorId="0" shapeId="0">
      <text>
        <t>Interest = MAX(0, Opening * 8.29%/12)</t>
      </text>
    </comment>
    <comment ref="F515" authorId="0" shapeId="0">
      <text>
        <t>Principal = MAX(0, MIN(Opening, $3,481.99 - Interest))</t>
      </text>
    </comment>
    <comment ref="G515" authorId="0" shapeId="0">
      <text>
        <t>Closing = MAX(0, Opening - Principal)</t>
      </text>
    </comment>
    <comment ref="E516" authorId="0" shapeId="0">
      <text>
        <t>Interest = MAX(0, Opening * 8.29%/12)</t>
      </text>
    </comment>
    <comment ref="F516" authorId="0" shapeId="0">
      <text>
        <t>Principal = MAX(0, MIN(Opening, $3,481.99 - Interest))</t>
      </text>
    </comment>
    <comment ref="G516" authorId="0" shapeId="0">
      <text>
        <t>Closing = MAX(0, Opening - Principal)</t>
      </text>
    </comment>
    <comment ref="E517" authorId="0" shapeId="0">
      <text>
        <t>Interest = MAX(0, Opening * 8.29%/12)</t>
      </text>
    </comment>
    <comment ref="F517" authorId="0" shapeId="0">
      <text>
        <t>Principal = MAX(0, MIN(Opening, $3,481.99 - Interest))</t>
      </text>
    </comment>
    <comment ref="G517" authorId="0" shapeId="0">
      <text>
        <t>Closing = MAX(0, Opening - Principal)</t>
      </text>
    </comment>
    <comment ref="E518" authorId="0" shapeId="0">
      <text>
        <t>Interest = MAX(0, Opening * 8.29%/12)</t>
      </text>
    </comment>
    <comment ref="F518" authorId="0" shapeId="0">
      <text>
        <t>Principal = MAX(0, MIN(Opening, $3,481.99 - Interest))</t>
      </text>
    </comment>
    <comment ref="G518" authorId="0" shapeId="0">
      <text>
        <t>Closing = MAX(0, Opening - Principal)</t>
      </text>
    </comment>
    <comment ref="E519" authorId="0" shapeId="0">
      <text>
        <t>Sum of rows 491-518: Total interest over loan term</t>
      </text>
    </comment>
    <comment ref="F519" authorId="0" shapeId="0">
      <text>
        <t>Sum of rows 491-518: Total principal over loan term</t>
      </text>
    </comment>
    <comment ref="C528" authorId="0" shapeId="0">
      <text>
        <t>Loan: Mercedes-Benz Financial, AMORTIZING.
Source: Meiborg_Debt_Schedule_202511.xlsx</t>
      </text>
    </comment>
    <comment ref="C530" authorId="0" shapeId="0">
      <text>
        <t>Rate not stated in source - derived from payment schedule (~7.0%).</t>
      </text>
    </comment>
    <comment ref="D538" authorId="0" shapeId="0">
      <text>
        <t>Starting balance as of Nov 2025.
Source: Meiborg_Debt_Schedule_202511.xlsx</t>
      </text>
    </comment>
    <comment ref="E538" authorId="0" shapeId="0">
      <text>
        <t>Interest = MAX(0, Opening * 3.35%/12)</t>
      </text>
    </comment>
    <comment ref="F538" authorId="0" shapeId="0">
      <text>
        <t>Principal = MAX(0, MIN(Opening, $1,838.50 - Interest))</t>
      </text>
    </comment>
    <comment ref="G538" authorId="0" shapeId="0">
      <text>
        <t>Closing = MAX(0, Opening - Principal)</t>
      </text>
    </comment>
    <comment ref="E539" authorId="0" shapeId="0">
      <text>
        <t>Interest = MAX(0, Opening * 3.35%/12)</t>
      </text>
    </comment>
    <comment ref="F539" authorId="0" shapeId="0">
      <text>
        <t>Principal = MAX(0, MIN(Opening, $1,838.50 - Interest))</t>
      </text>
    </comment>
    <comment ref="G539" authorId="0" shapeId="0">
      <text>
        <t>Closing = MAX(0, Opening - Principal)</t>
      </text>
    </comment>
    <comment ref="E540" authorId="0" shapeId="0">
      <text>
        <t>Interest = MAX(0, Opening * 3.35%/12)</t>
      </text>
    </comment>
    <comment ref="F540" authorId="0" shapeId="0">
      <text>
        <t>Principal = MAX(0, MIN(Opening, $1,838.50 - Interest))</t>
      </text>
    </comment>
    <comment ref="G540" authorId="0" shapeId="0">
      <text>
        <t>Closing = MAX(0, Opening - Principal)</t>
      </text>
    </comment>
    <comment ref="E541" authorId="0" shapeId="0">
      <text>
        <t>Interest = MAX(0, Opening * 3.35%/12)</t>
      </text>
    </comment>
    <comment ref="F541" authorId="0" shapeId="0">
      <text>
        <t>Principal = MAX(0, MIN(Opening, $1,838.50 - Interest))</t>
      </text>
    </comment>
    <comment ref="G541" authorId="0" shapeId="0">
      <text>
        <t>Closing = MAX(0, Opening - Principal)</t>
      </text>
    </comment>
    <comment ref="E542" authorId="0" shapeId="0">
      <text>
        <t>Interest = MAX(0, Opening * 3.35%/12)</t>
      </text>
    </comment>
    <comment ref="F542" authorId="0" shapeId="0">
      <text>
        <t>Principal = MAX(0, MIN(Opening, $1,838.50 - Interest))</t>
      </text>
    </comment>
    <comment ref="G542" authorId="0" shapeId="0">
      <text>
        <t>Closing = MAX(0, Opening - Principal)</t>
      </text>
    </comment>
    <comment ref="E543" authorId="0" shapeId="0">
      <text>
        <t>Interest = MAX(0, Opening * 3.35%/12)</t>
      </text>
    </comment>
    <comment ref="F543" authorId="0" shapeId="0">
      <text>
        <t>Principal = MAX(0, MIN(Opening, $1,838.50 - Interest))</t>
      </text>
    </comment>
    <comment ref="G543" authorId="0" shapeId="0">
      <text>
        <t>Closing = MAX(0, Opening - Principal)</t>
      </text>
    </comment>
    <comment ref="E544" authorId="0" shapeId="0">
      <text>
        <t>Interest = MAX(0, Opening * 3.35%/12)</t>
      </text>
    </comment>
    <comment ref="F544" authorId="0" shapeId="0">
      <text>
        <t>Principal = MAX(0, MIN(Opening, $1,838.50 - Interest))</t>
      </text>
    </comment>
    <comment ref="G544" authorId="0" shapeId="0">
      <text>
        <t>Closing = MAX(0, Opening - Principal)</t>
      </text>
    </comment>
    <comment ref="E545" authorId="0" shapeId="0">
      <text>
        <t>Interest = MAX(0, Opening * 3.35%/12)</t>
      </text>
    </comment>
    <comment ref="F545" authorId="0" shapeId="0">
      <text>
        <t>Principal = MAX(0, MIN(Opening, $1,838.50 - Interest))</t>
      </text>
    </comment>
    <comment ref="G545" authorId="0" shapeId="0">
      <text>
        <t>Closing = MAX(0, Opening - Principal)</t>
      </text>
    </comment>
    <comment ref="E546" authorId="0" shapeId="0">
      <text>
        <t>Interest = MAX(0, Opening * 3.35%/12)</t>
      </text>
    </comment>
    <comment ref="F546" authorId="0" shapeId="0">
      <text>
        <t>Principal = MAX(0, MIN(Opening, $1,838.50 - Interest))</t>
      </text>
    </comment>
    <comment ref="G546" authorId="0" shapeId="0">
      <text>
        <t>Closing = MAX(0, Opening - Principal)</t>
      </text>
    </comment>
    <comment ref="E547" authorId="0" shapeId="0">
      <text>
        <t>Interest = MAX(0, Opening * 3.35%/12)</t>
      </text>
    </comment>
    <comment ref="F547" authorId="0" shapeId="0">
      <text>
        <t>Principal = MAX(0, MIN(Opening, $1,838.50 - Interest))</t>
      </text>
    </comment>
    <comment ref="G547" authorId="0" shapeId="0">
      <text>
        <t>Closing = MAX(0, Opening - Principal)</t>
      </text>
    </comment>
    <comment ref="E548" authorId="0" shapeId="0">
      <text>
        <t>Interest = MAX(0, Opening * 3.35%/12)</t>
      </text>
    </comment>
    <comment ref="F548" authorId="0" shapeId="0">
      <text>
        <t>Principal = MAX(0, MIN(Opening, $1,838.50 - Interest))</t>
      </text>
    </comment>
    <comment ref="G548" authorId="0" shapeId="0">
      <text>
        <t>Closing = MAX(0, Opening - Principal)</t>
      </text>
    </comment>
    <comment ref="E549" authorId="0" shapeId="0">
      <text>
        <t>Interest = MAX(0, Opening * 3.35%/12)</t>
      </text>
    </comment>
    <comment ref="F549" authorId="0" shapeId="0">
      <text>
        <t>Principal = MAX(0, MIN(Opening, $1,838.50 - Interest))</t>
      </text>
    </comment>
    <comment ref="G549" authorId="0" shapeId="0">
      <text>
        <t>Closing = MAX(0, Opening - Principal)</t>
      </text>
    </comment>
    <comment ref="E550" authorId="0" shapeId="0">
      <text>
        <t>Interest = MAX(0, Opening * 3.35%/12)</t>
      </text>
    </comment>
    <comment ref="F550" authorId="0" shapeId="0">
      <text>
        <t>Principal = MAX(0, MIN(Opening, $1,838.50 - Interest))</t>
      </text>
    </comment>
    <comment ref="G550" authorId="0" shapeId="0">
      <text>
        <t>Closing = MAX(0, Opening - Principal)</t>
      </text>
    </comment>
    <comment ref="E551" authorId="0" shapeId="0">
      <text>
        <t>Interest = MAX(0, Opening * 3.35%/12)</t>
      </text>
    </comment>
    <comment ref="F551" authorId="0" shapeId="0">
      <text>
        <t>Principal = MAX(0, MIN(Opening, $1,838.50 - Interest))</t>
      </text>
    </comment>
    <comment ref="G551" authorId="0" shapeId="0">
      <text>
        <t>Closing = MAX(0, Opening - Principal)</t>
      </text>
    </comment>
    <comment ref="E552" authorId="0" shapeId="0">
      <text>
        <t>Interest = MAX(0, Opening * 3.35%/12)</t>
      </text>
    </comment>
    <comment ref="F552" authorId="0" shapeId="0">
      <text>
        <t>Principal = MAX(0, MIN(Opening, $1,838.50 - Interest))</t>
      </text>
    </comment>
    <comment ref="G552" authorId="0" shapeId="0">
      <text>
        <t>Closing = MAX(0, Opening - Principal)</t>
      </text>
    </comment>
    <comment ref="E553" authorId="0" shapeId="0">
      <text>
        <t>Interest = MAX(0, Opening * 3.35%/12)</t>
      </text>
    </comment>
    <comment ref="F553" authorId="0" shapeId="0">
      <text>
        <t>Principal = MAX(0, MIN(Opening, $1,838.50 - Interest))</t>
      </text>
    </comment>
    <comment ref="G553" authorId="0" shapeId="0">
      <text>
        <t>Closing = MAX(0, Opening - Principal)</t>
      </text>
    </comment>
    <comment ref="E554" authorId="0" shapeId="0">
      <text>
        <t>Interest = MAX(0, Opening * 3.35%/12)</t>
      </text>
    </comment>
    <comment ref="F554" authorId="0" shapeId="0">
      <text>
        <t>Principal = MAX(0, MIN(Opening, $1,838.50 - Interest))</t>
      </text>
    </comment>
    <comment ref="G554" authorId="0" shapeId="0">
      <text>
        <t>Closing = MAX(0, Opening - Principal)</t>
      </text>
    </comment>
    <comment ref="E555" authorId="0" shapeId="0">
      <text>
        <t>Interest = MAX(0, Opening * 3.35%/12)</t>
      </text>
    </comment>
    <comment ref="F555" authorId="0" shapeId="0">
      <text>
        <t>Principal = MAX(0, MIN(Opening, $1,838.50 - Interest))</t>
      </text>
    </comment>
    <comment ref="G555" authorId="0" shapeId="0">
      <text>
        <t>Closing = MAX(0, Opening - Principal)</t>
      </text>
    </comment>
    <comment ref="E556" authorId="0" shapeId="0">
      <text>
        <t>Interest = MAX(0, Opening * 3.35%/12)</t>
      </text>
    </comment>
    <comment ref="F556" authorId="0" shapeId="0">
      <text>
        <t>Principal = MAX(0, MIN(Opening, $1,838.50 - Interest))</t>
      </text>
    </comment>
    <comment ref="G556" authorId="0" shapeId="0">
      <text>
        <t>Closing = MAX(0, Opening - Principal)</t>
      </text>
    </comment>
    <comment ref="E557" authorId="0" shapeId="0">
      <text>
        <t>Interest = MAX(0, Opening * 3.35%/12)</t>
      </text>
    </comment>
    <comment ref="F557" authorId="0" shapeId="0">
      <text>
        <t>Principal = MAX(0, MIN(Opening, $1,838.50 - Interest))</t>
      </text>
    </comment>
    <comment ref="G557" authorId="0" shapeId="0">
      <text>
        <t>Closing = MAX(0, Opening - Principal)</t>
      </text>
    </comment>
    <comment ref="E558" authorId="0" shapeId="0">
      <text>
        <t>Interest = MAX(0, Opening * 3.35%/12)</t>
      </text>
    </comment>
    <comment ref="F558" authorId="0" shapeId="0">
      <text>
        <t>Principal = MAX(0, MIN(Opening, $1,838.50 - Interest))</t>
      </text>
    </comment>
    <comment ref="G558" authorId="0" shapeId="0">
      <text>
        <t>Closing = MAX(0, Opening - Principal)</t>
      </text>
    </comment>
    <comment ref="E559" authorId="0" shapeId="0">
      <text>
        <t>Interest = MAX(0, Opening * 3.35%/12)</t>
      </text>
    </comment>
    <comment ref="F559" authorId="0" shapeId="0">
      <text>
        <t>Principal = MAX(0, MIN(Opening, $1,838.50 - Interest))</t>
      </text>
    </comment>
    <comment ref="G559" authorId="0" shapeId="0">
      <text>
        <t>Closing = MAX(0, Opening - Principal)</t>
      </text>
    </comment>
    <comment ref="E560" authorId="0" shapeId="0">
      <text>
        <t>Interest = MAX(0, Opening * 3.35%/12)</t>
      </text>
    </comment>
    <comment ref="F560" authorId="0" shapeId="0">
      <text>
        <t>Principal = MAX(0, MIN(Opening, $1,838.50 - Interest))</t>
      </text>
    </comment>
    <comment ref="G560" authorId="0" shapeId="0">
      <text>
        <t>Closing = MAX(0, Opening - Principal)</t>
      </text>
    </comment>
    <comment ref="E561" authorId="0" shapeId="0">
      <text>
        <t>Interest = MAX(0, Opening * 3.35%/12)</t>
      </text>
    </comment>
    <comment ref="F561" authorId="0" shapeId="0">
      <text>
        <t>Principal = MAX(0, MIN(Opening, $1,838.50 - Interest))</t>
      </text>
    </comment>
    <comment ref="G561" authorId="0" shapeId="0">
      <text>
        <t>Closing = MAX(0, Opening - Principal)</t>
      </text>
    </comment>
    <comment ref="E562" authorId="0" shapeId="0">
      <text>
        <t>Interest = MAX(0, Opening * 3.35%/12)</t>
      </text>
    </comment>
    <comment ref="F562" authorId="0" shapeId="0">
      <text>
        <t>Principal = MAX(0, MIN(Opening, $1,838.50 - Interest))</t>
      </text>
    </comment>
    <comment ref="G562" authorId="0" shapeId="0">
      <text>
        <t>Closing = MAX(0, Opening - Principal)</t>
      </text>
    </comment>
    <comment ref="E563" authorId="0" shapeId="0">
      <text>
        <t>Interest = MAX(0, Opening * 3.35%/12)</t>
      </text>
    </comment>
    <comment ref="F563" authorId="0" shapeId="0">
      <text>
        <t>Principal = MAX(0, MIN(Opening, $1,838.50 - Interest))</t>
      </text>
    </comment>
    <comment ref="G563" authorId="0" shapeId="0">
      <text>
        <t>Closing = MAX(0, Opening - Principal)</t>
      </text>
    </comment>
    <comment ref="E564" authorId="0" shapeId="0">
      <text>
        <t>Interest = MAX(0, Opening * 3.35%/12)</t>
      </text>
    </comment>
    <comment ref="F564" authorId="0" shapeId="0">
      <text>
        <t>Principal = MAX(0, MIN(Opening, $1,838.50 - Interest))</t>
      </text>
    </comment>
    <comment ref="G564" authorId="0" shapeId="0">
      <text>
        <t>Closing = MAX(0, Opening - Principal)</t>
      </text>
    </comment>
    <comment ref="E565" authorId="0" shapeId="0">
      <text>
        <t>Interest = MAX(0, Opening * 3.35%/12)</t>
      </text>
    </comment>
    <comment ref="F565" authorId="0" shapeId="0">
      <text>
        <t>Principal = MAX(0, MIN(Opening, $1,838.50 - Interest))</t>
      </text>
    </comment>
    <comment ref="G565" authorId="0" shapeId="0">
      <text>
        <t>Closing = MAX(0, Opening - Principal)</t>
      </text>
    </comment>
    <comment ref="E566" authorId="0" shapeId="0">
      <text>
        <t>Interest = MAX(0, Opening * 3.35%/12)</t>
      </text>
    </comment>
    <comment ref="F566" authorId="0" shapeId="0">
      <text>
        <t>Principal = MAX(0, MIN(Opening, $1,838.50 - Interest))</t>
      </text>
    </comment>
    <comment ref="G566" authorId="0" shapeId="0">
      <text>
        <t>Closing = MAX(0, Opening - Principal)</t>
      </text>
    </comment>
    <comment ref="E567" authorId="0" shapeId="0">
      <text>
        <t>Interest = MAX(0, Opening * 3.35%/12)</t>
      </text>
    </comment>
    <comment ref="F567" authorId="0" shapeId="0">
      <text>
        <t>Principal = MAX(0, MIN(Opening, $1,838.50 - Interest))</t>
      </text>
    </comment>
    <comment ref="G567" authorId="0" shapeId="0">
      <text>
        <t>Closing = MAX(0, Opening - Principal)</t>
      </text>
    </comment>
    <comment ref="E568" authorId="0" shapeId="0">
      <text>
        <t>Interest = MAX(0, Opening * 3.35%/12)</t>
      </text>
    </comment>
    <comment ref="F568" authorId="0" shapeId="0">
      <text>
        <t>Principal = MAX(0, MIN(Opening, $1,838.50 - Interest))</t>
      </text>
    </comment>
    <comment ref="G568" authorId="0" shapeId="0">
      <text>
        <t>Closing = MAX(0, Opening - Principal)</t>
      </text>
    </comment>
    <comment ref="E569" authorId="0" shapeId="0">
      <text>
        <t>Interest = MAX(0, Opening * 3.35%/12)</t>
      </text>
    </comment>
    <comment ref="F569" authorId="0" shapeId="0">
      <text>
        <t>Principal = MAX(0, MIN(Opening, $1,838.50 - Interest))</t>
      </text>
    </comment>
    <comment ref="G569" authorId="0" shapeId="0">
      <text>
        <t>Closing = MAX(0, Opening - Principal)</t>
      </text>
    </comment>
    <comment ref="E570" authorId="0" shapeId="0">
      <text>
        <t>Interest = MAX(0, Opening * 3.35%/12)</t>
      </text>
    </comment>
    <comment ref="F570" authorId="0" shapeId="0">
      <text>
        <t>Principal = MAX(0, MIN(Opening, $1,838.50 - Interest))</t>
      </text>
    </comment>
    <comment ref="G570" authorId="0" shapeId="0">
      <text>
        <t>Closing = MAX(0, Opening - Principal)</t>
      </text>
    </comment>
    <comment ref="E571" authorId="0" shapeId="0">
      <text>
        <t>Interest = MAX(0, Opening * 3.35%/12)</t>
      </text>
    </comment>
    <comment ref="F571" authorId="0" shapeId="0">
      <text>
        <t>Principal = MAX(0, MIN(Opening, $1,838.50 - Interest))</t>
      </text>
    </comment>
    <comment ref="G571" authorId="0" shapeId="0">
      <text>
        <t>Closing = MAX(0, Opening - Principal)</t>
      </text>
    </comment>
    <comment ref="E572" authorId="0" shapeId="0">
      <text>
        <t>Interest = MAX(0, Opening * 3.35%/12)</t>
      </text>
    </comment>
    <comment ref="F572" authorId="0" shapeId="0">
      <text>
        <t>Principal = MAX(0, MIN(Opening, $1,838.50 - Interest))</t>
      </text>
    </comment>
    <comment ref="G572" authorId="0" shapeId="0">
      <text>
        <t>Closing = MAX(0, Opening - Principal)</t>
      </text>
    </comment>
    <comment ref="E573" authorId="0" shapeId="0">
      <text>
        <t>Interest = MAX(0, Opening * 3.35%/12)</t>
      </text>
    </comment>
    <comment ref="F573" authorId="0" shapeId="0">
      <text>
        <t>Principal = MAX(0, MIN(Opening, $1,838.50 - Interest))</t>
      </text>
    </comment>
    <comment ref="G573" authorId="0" shapeId="0">
      <text>
        <t>Closing = MAX(0, Opening - Principal)</t>
      </text>
    </comment>
    <comment ref="E574" authorId="0" shapeId="0">
      <text>
        <t>Interest = MAX(0, Opening * 3.35%/12)</t>
      </text>
    </comment>
    <comment ref="F574" authorId="0" shapeId="0">
      <text>
        <t>Principal = MAX(0, MIN(Opening, $1,838.50 - Interest))</t>
      </text>
    </comment>
    <comment ref="G574" authorId="0" shapeId="0">
      <text>
        <t>Closing = MAX(0, Opening - Principal)</t>
      </text>
    </comment>
    <comment ref="E575" authorId="0" shapeId="0">
      <text>
        <t>Interest = MAX(0, Opening * 3.35%/12)</t>
      </text>
    </comment>
    <comment ref="F575" authorId="0" shapeId="0">
      <text>
        <t>Principal = MAX(0, MIN(Opening, $1,838.50 - Interest))</t>
      </text>
    </comment>
    <comment ref="G575" authorId="0" shapeId="0">
      <text>
        <t>Closing = MAX(0, Opening - Principal)</t>
      </text>
    </comment>
    <comment ref="E576" authorId="0" shapeId="0">
      <text>
        <t>Interest = MAX(0, Opening * 3.35%/12)</t>
      </text>
    </comment>
    <comment ref="F576" authorId="0" shapeId="0">
      <text>
        <t>Principal = MAX(0, MIN(Opening, $1,838.50 - Interest))</t>
      </text>
    </comment>
    <comment ref="G576" authorId="0" shapeId="0">
      <text>
        <t>Closing = MAX(0, Opening - Principal)</t>
      </text>
    </comment>
    <comment ref="E577" authorId="0" shapeId="0">
      <text>
        <t>Interest = MAX(0, Opening * 3.35%/12)</t>
      </text>
    </comment>
    <comment ref="F577" authorId="0" shapeId="0">
      <text>
        <t>Principal = MAX(0, MIN(Opening, $1,838.50 - Interest))</t>
      </text>
    </comment>
    <comment ref="G577" authorId="0" shapeId="0">
      <text>
        <t>Closing = MAX(0, Opening - Principal)</t>
      </text>
    </comment>
    <comment ref="E578" authorId="0" shapeId="0">
      <text>
        <t>Interest = MAX(0, Opening * 3.35%/12)</t>
      </text>
    </comment>
    <comment ref="F578" authorId="0" shapeId="0">
      <text>
        <t>Principal = MAX(0, MIN(Opening, $1,838.50 - Interest))</t>
      </text>
    </comment>
    <comment ref="G578" authorId="0" shapeId="0">
      <text>
        <t>Closing = MAX(0, Opening - Principal)</t>
      </text>
    </comment>
    <comment ref="E579" authorId="0" shapeId="0">
      <text>
        <t>Interest = MAX(0, Opening * 3.35%/12)</t>
      </text>
    </comment>
    <comment ref="F579" authorId="0" shapeId="0">
      <text>
        <t>Principal = MAX(0, MIN(Opening, $1,838.50 - Interest))</t>
      </text>
    </comment>
    <comment ref="G579" authorId="0" shapeId="0">
      <text>
        <t>Closing = MAX(0, Opening - Principal)</t>
      </text>
    </comment>
    <comment ref="E580" authorId="0" shapeId="0">
      <text>
        <t>Interest = MAX(0, Opening * 3.35%/12)</t>
      </text>
    </comment>
    <comment ref="F580" authorId="0" shapeId="0">
      <text>
        <t>Principal = MAX(0, MIN(Opening, $1,838.50 - Interest))</t>
      </text>
    </comment>
    <comment ref="G580" authorId="0" shapeId="0">
      <text>
        <t>Closing = MAX(0, Opening - Principal)</t>
      </text>
    </comment>
    <comment ref="E581" authorId="0" shapeId="0">
      <text>
        <t>Interest = MAX(0, Opening * 3.35%/12)</t>
      </text>
    </comment>
    <comment ref="F581" authorId="0" shapeId="0">
      <text>
        <t>Principal = MAX(0, MIN(Opening, $1,838.50 - Interest))</t>
      </text>
    </comment>
    <comment ref="G581" authorId="0" shapeId="0">
      <text>
        <t>Closing = MAX(0, Opening - Principal)</t>
      </text>
    </comment>
    <comment ref="E582" authorId="0" shapeId="0">
      <text>
        <t>Interest = MAX(0, Opening * 3.35%/12)</t>
      </text>
    </comment>
    <comment ref="F582" authorId="0" shapeId="0">
      <text>
        <t>Principal = MAX(0, MIN(Opening, $1,838.50 - Interest))</t>
      </text>
    </comment>
    <comment ref="G582" authorId="0" shapeId="0">
      <text>
        <t>Closing = MAX(0, Opening - Principal)</t>
      </text>
    </comment>
    <comment ref="E583" authorId="0" shapeId="0">
      <text>
        <t>Interest = MAX(0, Opening * 3.35%/12)</t>
      </text>
    </comment>
    <comment ref="F583" authorId="0" shapeId="0">
      <text>
        <t>Principal = MAX(0, MIN(Opening, $1,838.50 - Interest))</t>
      </text>
    </comment>
    <comment ref="G583" authorId="0" shapeId="0">
      <text>
        <t>Closing = MAX(0, Opening - Principal)</t>
      </text>
    </comment>
    <comment ref="E584" authorId="0" shapeId="0">
      <text>
        <t>Interest = MAX(0, Opening * 3.35%/12)</t>
      </text>
    </comment>
    <comment ref="F584" authorId="0" shapeId="0">
      <text>
        <t>Principal = MAX(0, MIN(Opening, $1,838.50 - Interest))</t>
      </text>
    </comment>
    <comment ref="G584" authorId="0" shapeId="0">
      <text>
        <t>Closing = MAX(0, Opening - Principal)</t>
      </text>
    </comment>
    <comment ref="E585" authorId="0" shapeId="0">
      <text>
        <t>Interest = MAX(0, Opening * 3.35%/12)</t>
      </text>
    </comment>
    <comment ref="F585" authorId="0" shapeId="0">
      <text>
        <t>Principal = MAX(0, MIN(Opening, $1,838.50 - Interest))</t>
      </text>
    </comment>
    <comment ref="G585" authorId="0" shapeId="0">
      <text>
        <t>Closing = MAX(0, Opening - Principal)</t>
      </text>
    </comment>
    <comment ref="E586" authorId="0" shapeId="0">
      <text>
        <t>Interest = MAX(0, Opening * 3.35%/12)</t>
      </text>
    </comment>
    <comment ref="F586" authorId="0" shapeId="0">
      <text>
        <t>Principal = MAX(0, MIN(Opening, $1,838.50 - Interest))</t>
      </text>
    </comment>
    <comment ref="G586" authorId="0" shapeId="0">
      <text>
        <t>Closing = MAX(0, Opening - Principal)</t>
      </text>
    </comment>
    <comment ref="E587" authorId="0" shapeId="0">
      <text>
        <t>Interest = MAX(0, Opening * 3.35%/12)</t>
      </text>
    </comment>
    <comment ref="F587" authorId="0" shapeId="0">
      <text>
        <t>Principal = MAX(0, MIN(Opening, $1,838.50 - Interest))</t>
      </text>
    </comment>
    <comment ref="G587" authorId="0" shapeId="0">
      <text>
        <t>Closing = MAX(0, Opening - Principal)</t>
      </text>
    </comment>
    <comment ref="E588" authorId="0" shapeId="0">
      <text>
        <t>Interest = MAX(0, Opening * 3.35%/12)</t>
      </text>
    </comment>
    <comment ref="F588" authorId="0" shapeId="0">
      <text>
        <t>Principal = MAX(0, MIN(Opening, $1,838.50 - Interest))</t>
      </text>
    </comment>
    <comment ref="G588" authorId="0" shapeId="0">
      <text>
        <t>Closing = MAX(0, Opening - Principal)</t>
      </text>
    </comment>
    <comment ref="E589" authorId="0" shapeId="0">
      <text>
        <t>Interest = MAX(0, Opening * 3.35%/12)</t>
      </text>
    </comment>
    <comment ref="F589" authorId="0" shapeId="0">
      <text>
        <t>Principal = MAX(0, MIN(Opening, $1,838.50 - Interest))</t>
      </text>
    </comment>
    <comment ref="G589" authorId="0" shapeId="0">
      <text>
        <t>Closing = MAX(0, Opening - Principal)</t>
      </text>
    </comment>
    <comment ref="E590" authorId="0" shapeId="0">
      <text>
        <t>Interest = MAX(0, Opening * 3.35%/12)</t>
      </text>
    </comment>
    <comment ref="F590" authorId="0" shapeId="0">
      <text>
        <t>Principal = MAX(0, MIN(Opening, $1,838.50 - Interest))</t>
      </text>
    </comment>
    <comment ref="G590" authorId="0" shapeId="0">
      <text>
        <t>Closing = MAX(0, Opening - Principal)</t>
      </text>
    </comment>
    <comment ref="E591" authorId="0" shapeId="0">
      <text>
        <t>Interest = MAX(0, Opening * 3.35%/12)</t>
      </text>
    </comment>
    <comment ref="F591" authorId="0" shapeId="0">
      <text>
        <t>Principal = MAX(0, MIN(Opening, $1,838.50 - Interest))</t>
      </text>
    </comment>
    <comment ref="G591" authorId="0" shapeId="0">
      <text>
        <t>Closing = MAX(0, Opening - Principal)</t>
      </text>
    </comment>
    <comment ref="E592" authorId="0" shapeId="0">
      <text>
        <t>Interest = MAX(0, Opening * 3.35%/12)</t>
      </text>
    </comment>
    <comment ref="F592" authorId="0" shapeId="0">
      <text>
        <t>Principal = MAX(0, MIN(Opening, $1,838.50 - Interest))</t>
      </text>
    </comment>
    <comment ref="G592" authorId="0" shapeId="0">
      <text>
        <t>Closing = MAX(0, Opening - Principal)</t>
      </text>
    </comment>
    <comment ref="E593" authorId="0" shapeId="0">
      <text>
        <t>Interest = MAX(0, Opening * 3.35%/12)</t>
      </text>
    </comment>
    <comment ref="F593" authorId="0" shapeId="0">
      <text>
        <t>Principal = MAX(0, MIN(Opening, $1,838.50 - Interest))</t>
      </text>
    </comment>
    <comment ref="G593" authorId="0" shapeId="0">
      <text>
        <t>Closing = MAX(0, Opening - Principal)</t>
      </text>
    </comment>
    <comment ref="E594" authorId="0" shapeId="0">
      <text>
        <t>Interest = MAX(0, Opening * 3.35%/12)</t>
      </text>
    </comment>
    <comment ref="F594" authorId="0" shapeId="0">
      <text>
        <t>Principal = MAX(0, MIN(Opening, $1,838.50 - Interest))</t>
      </text>
    </comment>
    <comment ref="G594" authorId="0" shapeId="0">
      <text>
        <t>Closing = MAX(0, Opening - Principal)</t>
      </text>
    </comment>
    <comment ref="E595" authorId="0" shapeId="0">
      <text>
        <t>Interest = MAX(0, Opening * 3.35%/12)</t>
      </text>
    </comment>
    <comment ref="F595" authorId="0" shapeId="0">
      <text>
        <t>Principal = MAX(0, MIN(Opening, $1,838.50 - Interest))</t>
      </text>
    </comment>
    <comment ref="G595" authorId="0" shapeId="0">
      <text>
        <t>Closing = MAX(0, Opening - Principal)</t>
      </text>
    </comment>
    <comment ref="E596" authorId="0" shapeId="0">
      <text>
        <t>Interest = MAX(0, Opening * 3.35%/12)</t>
      </text>
    </comment>
    <comment ref="F596" authorId="0" shapeId="0">
      <text>
        <t>Principal = MAX(0, MIN(Opening, $1,838.50 - Interest))</t>
      </text>
    </comment>
    <comment ref="G596" authorId="0" shapeId="0">
      <text>
        <t>Closing = MAX(0, Opening - Principal)</t>
      </text>
    </comment>
    <comment ref="E597" authorId="0" shapeId="0">
      <text>
        <t>Interest = MAX(0, Opening * 3.35%/12)</t>
      </text>
    </comment>
    <comment ref="F597" authorId="0" shapeId="0">
      <text>
        <t>Principal = MAX(0, MIN(Opening, $1,838.50 - Interest))</t>
      </text>
    </comment>
    <comment ref="G597" authorId="0" shapeId="0">
      <text>
        <t>Closing = MAX(0, Opening - Principal)</t>
      </text>
    </comment>
    <comment ref="E598" authorId="0" shapeId="0">
      <text>
        <t>Sum of rows 538-597: Total interest over loan term</t>
      </text>
    </comment>
    <comment ref="F598" authorId="0" shapeId="0">
      <text>
        <t>Sum of rows 538-597: Total principal over loan term</t>
      </text>
    </comment>
    <comment ref="C604" authorId="0" shapeId="0">
      <text>
        <t>Check: must be 0. Non-zero = data entry error.</t>
      </text>
    </comment>
    <comment ref="C605" authorId="0" shapeId="0">
      <text>
        <t>Total monthly payment for all misc equipment loans.
Expected: ~$68,805/mo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10.xml.rels><Relationships xmlns="http://schemas.openxmlformats.org/package/2006/relationships"><Relationship Type="http://schemas.openxmlformats.org/officeDocument/2006/relationships/comments" Target="/xl/comments/comment9.xml" Id="comments" /><Relationship Type="http://schemas.openxmlformats.org/officeDocument/2006/relationships/vmlDrawing" Target="/xl/drawings/commentsDrawing9.vml" Id="anysvml" /></Relationships>
</file>

<file path=xl/worksheets/_rels/sheet11.xml.rels><Relationships xmlns="http://schemas.openxmlformats.org/package/2006/relationships"><Relationship Type="http://schemas.openxmlformats.org/officeDocument/2006/relationships/comments" Target="/xl/comments/comment10.xml" Id="comments" /><Relationship Type="http://schemas.openxmlformats.org/officeDocument/2006/relationships/vmlDrawing" Target="/xl/drawings/commentsDrawing10.vml" Id="anysvml" /></Relationships>
</file>

<file path=xl/worksheets/_rels/sheet12.xml.rels><Relationships xmlns="http://schemas.openxmlformats.org/package/2006/relationships"><Relationship Type="http://schemas.openxmlformats.org/officeDocument/2006/relationships/comments" Target="/xl/comments/comment11.xml" Id="comments" /><Relationship Type="http://schemas.openxmlformats.org/officeDocument/2006/relationships/vmlDrawing" Target="/xl/drawings/commentsDrawing11.vml" Id="anysvml" /></Relationships>
</file>

<file path=xl/worksheets/_rels/sheet13.xml.rels><Relationships xmlns="http://schemas.openxmlformats.org/package/2006/relationships"><Relationship Type="http://schemas.openxmlformats.org/officeDocument/2006/relationships/comments" Target="/xl/comments/comment12.xml" Id="comments" /><Relationship Type="http://schemas.openxmlformats.org/officeDocument/2006/relationships/vmlDrawing" Target="/xl/drawings/commentsDrawing12.vml" Id="anysvml" /></Relationships>
</file>

<file path=xl/worksheets/_rels/sheet14.xml.rels><Relationships xmlns="http://schemas.openxmlformats.org/package/2006/relationships"><Relationship Type="http://schemas.openxmlformats.org/officeDocument/2006/relationships/comments" Target="/xl/comments/comment13.xml" Id="comments" /><Relationship Type="http://schemas.openxmlformats.org/officeDocument/2006/relationships/vmlDrawing" Target="/xl/drawings/commentsDrawing13.vml" Id="anysvml" /></Relationships>
</file>

<file path=xl/worksheets/_rels/sheet15.xml.rels><Relationships xmlns="http://schemas.openxmlformats.org/package/2006/relationships"><Relationship Type="http://schemas.openxmlformats.org/officeDocument/2006/relationships/comments" Target="/xl/comments/comment14.xml" Id="comments" /><Relationship Type="http://schemas.openxmlformats.org/officeDocument/2006/relationships/vmlDrawing" Target="/xl/drawings/commentsDrawing14.vml" Id="anysvml" /></Relationships>
</file>

<file path=xl/worksheets/_rels/sheet16.xml.rels><Relationships xmlns="http://schemas.openxmlformats.org/package/2006/relationships"><Relationship Type="http://schemas.openxmlformats.org/officeDocument/2006/relationships/comments" Target="/xl/comments/comment15.xml" Id="comments" /><Relationship Type="http://schemas.openxmlformats.org/officeDocument/2006/relationships/vmlDrawing" Target="/xl/drawings/commentsDrawing15.vml" Id="anysvml" /></Relationships>
</file>

<file path=xl/worksheets/_rels/sheet17.xml.rels><Relationships xmlns="http://schemas.openxmlformats.org/package/2006/relationships"><Relationship Type="http://schemas.openxmlformats.org/officeDocument/2006/relationships/comments" Target="/xl/comments/comment16.xml" Id="comments" /><Relationship Type="http://schemas.openxmlformats.org/officeDocument/2006/relationships/vmlDrawing" Target="/xl/drawings/commentsDrawing16.vml" Id="anysvml" /></Relationships>
</file>

<file path=xl/worksheets/_rels/sheet18.xml.rels><Relationships xmlns="http://schemas.openxmlformats.org/package/2006/relationships"><Relationship Type="http://schemas.openxmlformats.org/officeDocument/2006/relationships/comments" Target="/xl/comments/comment17.xml" Id="comments" /><Relationship Type="http://schemas.openxmlformats.org/officeDocument/2006/relationships/vmlDrawing" Target="/xl/drawings/commentsDrawing17.vml" Id="anysvml" /></Relationships>
</file>

<file path=xl/worksheets/_rels/sheet19.xml.rels><Relationships xmlns="http://schemas.openxmlformats.org/package/2006/relationships"><Relationship Type="http://schemas.openxmlformats.org/officeDocument/2006/relationships/comments" Target="/xl/comments/comment18.xml" Id="comments" /><Relationship Type="http://schemas.openxmlformats.org/officeDocument/2006/relationships/vmlDrawing" Target="/xl/drawings/commentsDrawing18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20.xml.rels><Relationships xmlns="http://schemas.openxmlformats.org/package/2006/relationships"><Relationship Type="http://schemas.openxmlformats.org/officeDocument/2006/relationships/comments" Target="/xl/comments/comment19.xml" Id="comments" /><Relationship Type="http://schemas.openxmlformats.org/officeDocument/2006/relationships/vmlDrawing" Target="/xl/drawings/commentsDrawing19.vml" Id="anysvml" /></Relationships>
</file>

<file path=xl/worksheets/_rels/sheet21.xml.rels><Relationships xmlns="http://schemas.openxmlformats.org/package/2006/relationships"><Relationship Type="http://schemas.openxmlformats.org/officeDocument/2006/relationships/comments" Target="/xl/comments/comment20.xml" Id="comments" /><Relationship Type="http://schemas.openxmlformats.org/officeDocument/2006/relationships/vmlDrawing" Target="/xl/drawings/commentsDrawing20.vml" Id="anysvml" /></Relationships>
</file>

<file path=xl/worksheets/_rels/sheet22.xml.rels><Relationships xmlns="http://schemas.openxmlformats.org/package/2006/relationships"><Relationship Type="http://schemas.openxmlformats.org/officeDocument/2006/relationships/comments" Target="/xl/comments/comment21.xml" Id="comments" /><Relationship Type="http://schemas.openxmlformats.org/officeDocument/2006/relationships/vmlDrawing" Target="/xl/drawings/commentsDrawing21.vml" Id="anysvml" /></Relationships>
</file>

<file path=xl/worksheets/_rels/sheet23.xml.rels><Relationships xmlns="http://schemas.openxmlformats.org/package/2006/relationships"><Relationship Type="http://schemas.openxmlformats.org/officeDocument/2006/relationships/comments" Target="/xl/comments/comment22.xml" Id="comments" /><Relationship Type="http://schemas.openxmlformats.org/officeDocument/2006/relationships/vmlDrawing" Target="/xl/drawings/commentsDrawing22.vml" Id="anysvml" /></Relationships>
</file>

<file path=xl/worksheets/_rels/sheet24.xml.rels><Relationships xmlns="http://schemas.openxmlformats.org/package/2006/relationships"><Relationship Type="http://schemas.openxmlformats.org/officeDocument/2006/relationships/comments" Target="/xl/comments/comment23.xml" Id="comments" /><Relationship Type="http://schemas.openxmlformats.org/officeDocument/2006/relationships/vmlDrawing" Target="/xl/drawings/commentsDrawing23.vml" Id="anysvml" /></Relationships>
</file>

<file path=xl/worksheets/_rels/sheet25.xml.rels><Relationships xmlns="http://schemas.openxmlformats.org/package/2006/relationships"><Relationship Type="http://schemas.openxmlformats.org/officeDocument/2006/relationships/comments" Target="/xl/comments/comment24.xml" Id="comments" /><Relationship Type="http://schemas.openxmlformats.org/officeDocument/2006/relationships/vmlDrawing" Target="/xl/drawings/commentsDrawing24.vml" Id="anysvml" /></Relationships>
</file>

<file path=xl/worksheets/_rels/sheet26.xml.rels><Relationships xmlns="http://schemas.openxmlformats.org/package/2006/relationships"><Relationship Type="http://schemas.openxmlformats.org/officeDocument/2006/relationships/comments" Target="/xl/comments/comment25.xml" Id="comments" /><Relationship Type="http://schemas.openxmlformats.org/officeDocument/2006/relationships/vmlDrawing" Target="/xl/drawings/commentsDrawing25.vml" Id="anysvml" /></Relationships>
</file>

<file path=xl/worksheets/_rels/sheet27.xml.rels><Relationships xmlns="http://schemas.openxmlformats.org/package/2006/relationships"><Relationship Type="http://schemas.openxmlformats.org/officeDocument/2006/relationships/comments" Target="/xl/comments/comment26.xml" Id="comments" /><Relationship Type="http://schemas.openxmlformats.org/officeDocument/2006/relationships/vmlDrawing" Target="/xl/drawings/commentsDrawing26.vml" Id="anysvml" /></Relationships>
</file>

<file path=xl/worksheets/_rels/sheet28.xml.rels><Relationships xmlns="http://schemas.openxmlformats.org/package/2006/relationships"><Relationship Type="http://schemas.openxmlformats.org/officeDocument/2006/relationships/comments" Target="/xl/comments/comment27.xml" Id="comments" /><Relationship Type="http://schemas.openxmlformats.org/officeDocument/2006/relationships/vmlDrawing" Target="/xl/drawings/commentsDrawing27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8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_rels/sheet9.xml.rels><Relationships xmlns="http://schemas.openxmlformats.org/package/2006/relationships"><Relationship Type="http://schemas.openxmlformats.org/officeDocument/2006/relationships/comments" Target="/xl/comments/comment8.xml" Id="comments" /><Relationship Type="http://schemas.openxmlformats.org/officeDocument/2006/relationships/vmlDrawing" Target="/xl/drawings/commentsDrawing8.vml" Id="anysvml" /></Relationships>
</file>

<file path=xl/worksheets/sheet1.xml><?xml version="1.0" encoding="utf-8"?>
<worksheet xmlns="http://schemas.openxmlformats.org/spreadsheetml/2006/main">
  <sheetPr>
    <tabColor rgb="00FF6D00"/>
    <outlinePr summaryBelow="1" summaryRight="1"/>
    <pageSetUpPr/>
  </sheetPr>
  <dimension ref="A1:I41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3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28" customHeight="1">
      <c r="A1" s="224" t="inlineStr">
        <is>
          <t>MEIBORG COMPANIES, INC.</t>
        </is>
      </c>
    </row>
    <row r="2">
      <c r="A2" s="225" t="inlineStr">
        <is>
          <t>Executive Summary</t>
        </is>
      </c>
    </row>
    <row r="3">
      <c r="B3" s="41" t="inlineStr">
        <is>
          <t>Description</t>
        </is>
      </c>
      <c r="C3" s="88" t="inlineStr">
        <is>
          <t>2021A</t>
        </is>
      </c>
      <c r="D3" s="88" t="inlineStr">
        <is>
          <t>2022A</t>
        </is>
      </c>
      <c r="E3" s="88" t="inlineStr">
        <is>
          <t>2023A</t>
        </is>
      </c>
      <c r="F3" s="88" t="inlineStr">
        <is>
          <t>2024A</t>
        </is>
      </c>
      <c r="G3" s="88" t="inlineStr">
        <is>
          <t>2025A</t>
        </is>
      </c>
      <c r="H3" s="88" t="inlineStr">
        <is>
          <t>2026E</t>
        </is>
      </c>
      <c r="I3" s="88" t="inlineStr">
        <is>
          <t>2027E</t>
        </is>
      </c>
    </row>
    <row r="4">
      <c r="B4" s="34" t="n"/>
      <c r="C4" s="34" t="n"/>
      <c r="D4" s="34" t="n"/>
      <c r="E4" s="34" t="n"/>
      <c r="F4" s="34" t="n"/>
      <c r="G4" s="34" t="n"/>
      <c r="H4" s="34" t="n"/>
      <c r="I4" s="34" t="n"/>
    </row>
    <row r="5" ht="22" customHeight="1">
      <c r="A5" s="233" t="inlineStr">
        <is>
          <t>KEY FINANCIAL METRICS</t>
        </is>
      </c>
      <c r="B5" s="234" t="n"/>
      <c r="C5" s="234" t="n"/>
      <c r="D5" s="234" t="n"/>
      <c r="E5" s="234" t="n"/>
      <c r="F5" s="234" t="n"/>
      <c r="G5" s="234" t="n"/>
      <c r="H5" s="234" t="n"/>
      <c r="I5" s="235" t="n"/>
    </row>
    <row r="6">
      <c r="B6" s="34" t="inlineStr">
        <is>
          <t>Revenue</t>
        </is>
      </c>
      <c r="C6" s="114">
        <f>'Income Statement'!C12</f>
        <v/>
      </c>
      <c r="D6" s="114">
        <f>'Income Statement'!D12</f>
        <v/>
      </c>
      <c r="E6" s="114">
        <f>'Income Statement'!E12</f>
        <v/>
      </c>
      <c r="F6" s="114">
        <f>'Income Statement'!F12</f>
        <v/>
      </c>
      <c r="G6" s="114">
        <f>'Income Statement'!G12</f>
        <v/>
      </c>
      <c r="H6" s="114">
        <f>'Income Statement'!H12</f>
        <v/>
      </c>
      <c r="I6" s="114">
        <f>'Income Statement'!I12</f>
        <v/>
      </c>
    </row>
    <row r="7">
      <c r="B7" s="34" t="inlineStr">
        <is>
          <t>Revenue Growth %</t>
        </is>
      </c>
      <c r="C7" s="34">
        <f>NA()</f>
        <v/>
      </c>
      <c r="D7" s="227">
        <f>IF(C6=0,0,(D6-C6)/C6)</f>
        <v/>
      </c>
      <c r="E7" s="227">
        <f>IF(D6=0,0,(E6-D6)/D6)</f>
        <v/>
      </c>
      <c r="F7" s="227">
        <f>IF(E6=0,0,(F6-E6)/E6)</f>
        <v/>
      </c>
      <c r="G7" s="227">
        <f>IF(F6=0,0,(G6-F6)/F6)</f>
        <v/>
      </c>
      <c r="H7" s="227">
        <f>IF(G6=0,0,(H6-G6)/G6)</f>
        <v/>
      </c>
      <c r="I7" s="227">
        <f>IF(H6=0,0,(I6-H6)/H6)</f>
        <v/>
      </c>
    </row>
    <row r="8">
      <c r="B8" s="34" t="inlineStr">
        <is>
          <t>Gross Profit</t>
        </is>
      </c>
      <c r="C8" s="114">
        <f>'Income Statement'!C29</f>
        <v/>
      </c>
      <c r="D8" s="114">
        <f>'Income Statement'!D29</f>
        <v/>
      </c>
      <c r="E8" s="114">
        <f>'Income Statement'!E29</f>
        <v/>
      </c>
      <c r="F8" s="114">
        <f>'Income Statement'!F29</f>
        <v/>
      </c>
      <c r="G8" s="114">
        <f>'Income Statement'!G29</f>
        <v/>
      </c>
      <c r="H8" s="114">
        <f>'Income Statement'!H29</f>
        <v/>
      </c>
      <c r="I8" s="114">
        <f>'Income Statement'!I29</f>
        <v/>
      </c>
    </row>
    <row r="9">
      <c r="B9" s="34" t="inlineStr">
        <is>
          <t>Gross Margin %</t>
        </is>
      </c>
      <c r="C9" s="227">
        <f>IF(C6=0,0,C8/C6)</f>
        <v/>
      </c>
      <c r="D9" s="227">
        <f>IF(D6=0,0,D8/D6)</f>
        <v/>
      </c>
      <c r="E9" s="227">
        <f>IF(E6=0,0,E8/E6)</f>
        <v/>
      </c>
      <c r="F9" s="227">
        <f>IF(F6=0,0,F8/F6)</f>
        <v/>
      </c>
      <c r="G9" s="227">
        <f>IF(G6=0,0,G8/G6)</f>
        <v/>
      </c>
      <c r="H9" s="227">
        <f>IF(H6=0,0,H8/H6)</f>
        <v/>
      </c>
      <c r="I9" s="227">
        <f>IF(I6=0,0,I8/I6)</f>
        <v/>
      </c>
    </row>
    <row r="10">
      <c r="B10" s="34" t="inlineStr">
        <is>
          <t>EBITDA</t>
        </is>
      </c>
      <c r="C10" s="114">
        <f>'Income Statement'!C48</f>
        <v/>
      </c>
      <c r="D10" s="114">
        <f>'Income Statement'!D48</f>
        <v/>
      </c>
      <c r="E10" s="114">
        <f>'Income Statement'!E48</f>
        <v/>
      </c>
      <c r="F10" s="114">
        <f>'Income Statement'!F48</f>
        <v/>
      </c>
      <c r="G10" s="114">
        <f>'Income Statement'!G48</f>
        <v/>
      </c>
      <c r="H10" s="114">
        <f>'Income Statement'!H48</f>
        <v/>
      </c>
      <c r="I10" s="114">
        <f>'Income Statement'!I48</f>
        <v/>
      </c>
    </row>
    <row r="11">
      <c r="B11" s="34" t="inlineStr">
        <is>
          <t>EBITDA Margin %</t>
        </is>
      </c>
      <c r="C11" s="227">
        <f>IF(C6=0,0,C10/C6)</f>
        <v/>
      </c>
      <c r="D11" s="227">
        <f>IF(D6=0,0,D10/D6)</f>
        <v/>
      </c>
      <c r="E11" s="227">
        <f>IF(E6=0,0,E10/E6)</f>
        <v/>
      </c>
      <c r="F11" s="227">
        <f>IF(F6=0,0,F10/F6)</f>
        <v/>
      </c>
      <c r="G11" s="227">
        <f>IF(G6=0,0,G10/G6)</f>
        <v/>
      </c>
      <c r="H11" s="227">
        <f>IF(H6=0,0,H10/H6)</f>
        <v/>
      </c>
      <c r="I11" s="227">
        <f>IF(I6=0,0,I10/I6)</f>
        <v/>
      </c>
    </row>
    <row r="12">
      <c r="B12" s="34" t="inlineStr">
        <is>
          <t>Net Income</t>
        </is>
      </c>
      <c r="C12" s="114">
        <f>'Income Statement'!C58</f>
        <v/>
      </c>
      <c r="D12" s="114">
        <f>'Income Statement'!D58</f>
        <v/>
      </c>
      <c r="E12" s="114">
        <f>'Income Statement'!E58</f>
        <v/>
      </c>
      <c r="F12" s="114">
        <f>'Income Statement'!F58</f>
        <v/>
      </c>
      <c r="G12" s="114">
        <f>'Income Statement'!G58</f>
        <v/>
      </c>
      <c r="H12" s="114">
        <f>'Income Statement'!H58</f>
        <v/>
      </c>
      <c r="I12" s="114">
        <f>'Income Statement'!I58</f>
        <v/>
      </c>
    </row>
    <row r="13">
      <c r="B13" s="34" t="inlineStr">
        <is>
          <t>Net Income Margin %</t>
        </is>
      </c>
      <c r="C13" s="227">
        <f>IF(C6=0,0,C12/C6)</f>
        <v/>
      </c>
      <c r="D13" s="227">
        <f>IF(D6=0,0,D12/D6)</f>
        <v/>
      </c>
      <c r="E13" s="227">
        <f>IF(E6=0,0,E12/E6)</f>
        <v/>
      </c>
      <c r="F13" s="227">
        <f>IF(F6=0,0,F12/F6)</f>
        <v/>
      </c>
      <c r="G13" s="227">
        <f>IF(G6=0,0,G12/G6)</f>
        <v/>
      </c>
      <c r="H13" s="227">
        <f>IF(H6=0,0,H12/H6)</f>
        <v/>
      </c>
      <c r="I13" s="227">
        <f>IF(I6=0,0,I12/I6)</f>
        <v/>
      </c>
    </row>
    <row r="14">
      <c r="B14" s="34" t="n"/>
      <c r="C14" s="34" t="n"/>
      <c r="D14" s="34" t="n"/>
      <c r="E14" s="34" t="n"/>
      <c r="F14" s="34" t="n"/>
      <c r="G14" s="34" t="n"/>
      <c r="H14" s="34" t="n"/>
      <c r="I14" s="34" t="n"/>
    </row>
    <row r="15" ht="22" customHeight="1">
      <c r="A15" s="233" t="inlineStr">
        <is>
          <t>BALANCE SHEET METRICS</t>
        </is>
      </c>
      <c r="B15" s="234" t="n"/>
      <c r="C15" s="234" t="n"/>
      <c r="D15" s="234" t="n"/>
      <c r="E15" s="234" t="n"/>
      <c r="F15" s="234" t="n"/>
      <c r="G15" s="234" t="n"/>
      <c r="H15" s="234" t="n"/>
      <c r="I15" s="235" t="n"/>
    </row>
    <row r="16">
      <c r="B16" s="34" t="inlineStr">
        <is>
          <t>Total Assets</t>
        </is>
      </c>
      <c r="C16" s="114">
        <f>'Balance Sheet'!C39</f>
        <v/>
      </c>
      <c r="D16" s="114">
        <f>'Balance Sheet'!D39</f>
        <v/>
      </c>
      <c r="E16" s="114">
        <f>'Balance Sheet'!E39</f>
        <v/>
      </c>
      <c r="F16" s="114">
        <f>'Balance Sheet'!F39</f>
        <v/>
      </c>
      <c r="G16" s="114">
        <f>'Balance Sheet'!G39</f>
        <v/>
      </c>
      <c r="H16" s="114">
        <f>'Balance Sheet'!H39</f>
        <v/>
      </c>
      <c r="I16" s="114">
        <f>'Balance Sheet'!I39</f>
        <v/>
      </c>
    </row>
    <row r="17">
      <c r="B17" s="34" t="inlineStr">
        <is>
          <t>Total Debt</t>
        </is>
      </c>
      <c r="C17" s="114">
        <f>'Balance Sheet'!C47+'Balance Sheet'!C53</f>
        <v/>
      </c>
      <c r="D17" s="114">
        <f>'Balance Sheet'!D47+'Balance Sheet'!D53</f>
        <v/>
      </c>
      <c r="E17" s="114">
        <f>'Balance Sheet'!E47+'Balance Sheet'!E53</f>
        <v/>
      </c>
      <c r="F17" s="114">
        <f>'Debt Schedule'!D38</f>
        <v/>
      </c>
      <c r="G17" s="114">
        <f>'Debt Schedule'!E38</f>
        <v/>
      </c>
      <c r="H17" s="114">
        <f>'Debt Schedule'!F38</f>
        <v/>
      </c>
      <c r="I17" s="114">
        <f>'Debt Schedule'!G38</f>
        <v/>
      </c>
    </row>
    <row r="18">
      <c r="B18" s="34" t="inlineStr">
        <is>
          <t>Total Equity</t>
        </is>
      </c>
      <c r="C18" s="114">
        <f>'Balance Sheet'!C65</f>
        <v/>
      </c>
      <c r="D18" s="114">
        <f>'Balance Sheet'!D65</f>
        <v/>
      </c>
      <c r="E18" s="114">
        <f>'Balance Sheet'!E65</f>
        <v/>
      </c>
      <c r="F18" s="114">
        <f>'Balance Sheet'!F65</f>
        <v/>
      </c>
      <c r="G18" s="114">
        <f>'Balance Sheet'!G65</f>
        <v/>
      </c>
      <c r="H18" s="114">
        <f>'Balance Sheet'!H65</f>
        <v/>
      </c>
      <c r="I18" s="114">
        <f>'Balance Sheet'!I65</f>
        <v/>
      </c>
    </row>
    <row r="19">
      <c r="B19" s="34" t="inlineStr">
        <is>
          <t>Net Debt</t>
        </is>
      </c>
      <c r="C19" s="24">
        <f>C17-'Balance Sheet'!C5</f>
        <v/>
      </c>
      <c r="D19" s="24">
        <f>D17-'Balance Sheet'!D5</f>
        <v/>
      </c>
      <c r="E19" s="24">
        <f>E17-'Balance Sheet'!E5</f>
        <v/>
      </c>
      <c r="F19" s="24">
        <f>F17-'Balance Sheet'!F5</f>
        <v/>
      </c>
      <c r="G19" s="24">
        <f>G17-'Balance Sheet'!G5</f>
        <v/>
      </c>
      <c r="H19" s="24">
        <f>H17-'Balance Sheet'!H5</f>
        <v/>
      </c>
      <c r="I19" s="24">
        <f>I17-'Balance Sheet'!I5</f>
        <v/>
      </c>
    </row>
    <row r="20">
      <c r="B20" s="34" t="n"/>
      <c r="C20" s="34" t="n"/>
      <c r="D20" s="34" t="n"/>
      <c r="E20" s="34" t="n"/>
      <c r="F20" s="34" t="n"/>
      <c r="G20" s="34" t="n"/>
      <c r="H20" s="34" t="n"/>
      <c r="I20" s="34" t="n"/>
    </row>
    <row r="21" ht="22" customHeight="1">
      <c r="A21" s="233" t="inlineStr">
        <is>
          <t>CREDIT METRICS</t>
        </is>
      </c>
      <c r="B21" s="234" t="n"/>
      <c r="C21" s="234" t="n"/>
      <c r="D21" s="234" t="n"/>
      <c r="E21" s="234" t="n"/>
      <c r="F21" s="234" t="n"/>
      <c r="G21" s="234" t="n"/>
      <c r="H21" s="234" t="n"/>
      <c r="I21" s="235" t="n"/>
    </row>
    <row r="22">
      <c r="B22" s="34" t="inlineStr">
        <is>
          <t>Total Debt / EBITDA</t>
        </is>
      </c>
      <c r="C22" s="228">
        <f>IF(C10=0,0,C17/C10)</f>
        <v/>
      </c>
      <c r="D22" s="228">
        <f>IF(D10=0,0,D17/D10)</f>
        <v/>
      </c>
      <c r="E22" s="228">
        <f>IF(E10=0,0,E17/E10)</f>
        <v/>
      </c>
      <c r="F22" s="228">
        <f>IF(F10=0,0,F17/F10)</f>
        <v/>
      </c>
      <c r="G22" s="228">
        <f>IF(G10=0,0,G17/G10)</f>
        <v/>
      </c>
      <c r="H22" s="228">
        <f>IF(H10=0,0,H17/H10)</f>
        <v/>
      </c>
      <c r="I22" s="228">
        <f>IF(I10=0,0,I17/I10)</f>
        <v/>
      </c>
    </row>
    <row r="23">
      <c r="B23" s="34" t="inlineStr">
        <is>
          <t>Net Debt / EBITDA</t>
        </is>
      </c>
      <c r="C23" s="228">
        <f>IF(C10=0,0,C19/C10)</f>
        <v/>
      </c>
      <c r="D23" s="228">
        <f>IF(D10=0,0,D19/D10)</f>
        <v/>
      </c>
      <c r="E23" s="228">
        <f>IF(E10=0,0,E19/E10)</f>
        <v/>
      </c>
      <c r="F23" s="228">
        <f>IF(F10=0,0,F19/F10)</f>
        <v/>
      </c>
      <c r="G23" s="228">
        <f>IF(G10=0,0,G19/G10)</f>
        <v/>
      </c>
      <c r="H23" s="228">
        <f>IF(H10=0,0,H19/H10)</f>
        <v/>
      </c>
      <c r="I23" s="228">
        <f>IF(I10=0,0,I19/I10)</f>
        <v/>
      </c>
    </row>
    <row r="24">
      <c r="B24" s="34" t="inlineStr">
        <is>
          <t>Interest Coverage (EBITDA / Int)</t>
        </is>
      </c>
      <c r="C24" s="228">
        <f>IF('Income Statement'!C51=0,0,C10/ABS('Income Statement'!C51))</f>
        <v/>
      </c>
      <c r="D24" s="228">
        <f>IF('Income Statement'!D51=0,0,D10/ABS('Income Statement'!D51))</f>
        <v/>
      </c>
      <c r="E24" s="228">
        <f>IF('Income Statement'!E51=0,0,E10/ABS('Income Statement'!E51))</f>
        <v/>
      </c>
      <c r="F24" s="228">
        <f>IF('Income Statement'!F51=0,0,F10/ABS('Income Statement'!F51))</f>
        <v/>
      </c>
      <c r="G24" s="228">
        <f>IF('Income Statement'!G51=0,0,G10/ABS('Income Statement'!G51))</f>
        <v/>
      </c>
      <c r="H24" s="228">
        <f>IF('Income Statement'!H51=0,0,H10/ABS('Income Statement'!H51))</f>
        <v/>
      </c>
      <c r="I24" s="228">
        <f>IF('Income Statement'!I51=0,0,I10/ABS('Income Statement'!I51))</f>
        <v/>
      </c>
    </row>
    <row r="25">
      <c r="B25" s="34" t="inlineStr">
        <is>
          <t>Fixed Charge Coverage</t>
        </is>
      </c>
      <c r="C25" s="228">
        <f>IF('Income Statement'!C51=0,0,C10/ABS('Income Statement'!C51))</f>
        <v/>
      </c>
      <c r="D25" s="228">
        <f>IF('Income Statement'!D51=0,0,D10/ABS('Income Statement'!D51))</f>
        <v/>
      </c>
      <c r="E25" s="228">
        <f>IF('Income Statement'!E51=0,0,E10/ABS('Income Statement'!E51))</f>
        <v/>
      </c>
      <c r="F25" s="228">
        <f>IF((ABS('Income Statement'!F51)+ABS('Debt Schedule'!D29))=0,0,F10/(ABS('Income Statement'!F51)+ABS('Debt Schedule'!D29)))</f>
        <v/>
      </c>
      <c r="G25" s="228">
        <f>IF((ABS('Income Statement'!G51)+ABS('Debt Schedule'!E29))=0,0,G10/(ABS('Income Statement'!G51)+ABS('Debt Schedule'!E29)))</f>
        <v/>
      </c>
      <c r="H25" s="228">
        <f>IF((ABS('Income Statement'!H51)+ABS('Debt Schedule'!F29))=0,0,H10/(ABS('Income Statement'!H51)+ABS('Debt Schedule'!F29)))</f>
        <v/>
      </c>
      <c r="I25" s="228">
        <f>IF((ABS('Income Statement'!I51)+ABS('Debt Schedule'!G29))=0,0,I10/(ABS('Income Statement'!I51)+ABS('Debt Schedule'!G29)))</f>
        <v/>
      </c>
    </row>
    <row r="26">
      <c r="B26" s="34" t="n"/>
      <c r="C26" s="34" t="n"/>
      <c r="D26" s="34" t="n"/>
      <c r="E26" s="34" t="n"/>
      <c r="F26" s="34" t="n"/>
      <c r="G26" s="34" t="n"/>
      <c r="H26" s="34" t="n"/>
      <c r="I26" s="34" t="n"/>
    </row>
    <row r="27" ht="22" customHeight="1">
      <c r="A27" s="233" t="inlineStr">
        <is>
          <t>WORKING CAPITAL</t>
        </is>
      </c>
      <c r="B27" s="234" t="n"/>
      <c r="C27" s="234" t="n"/>
      <c r="D27" s="234" t="n"/>
      <c r="E27" s="234" t="n"/>
      <c r="F27" s="234" t="n"/>
      <c r="G27" s="234" t="n"/>
      <c r="H27" s="234" t="n"/>
      <c r="I27" s="235" t="n"/>
    </row>
    <row r="28">
      <c r="B28" s="34" t="inlineStr">
        <is>
          <t>DSO (Days Sales Outstanding)</t>
        </is>
      </c>
      <c r="C28" s="229">
        <f>IF(C6=0,0,'Balance Sheet'!C6/(C6/365))</f>
        <v/>
      </c>
      <c r="D28" s="229">
        <f>IF(D6=0,0,'Balance Sheet'!D6/(D6/365))</f>
        <v/>
      </c>
      <c r="E28" s="229">
        <f>IF(E6=0,0,'Balance Sheet'!E6/(E6/365))</f>
        <v/>
      </c>
      <c r="F28" s="229">
        <f>IF(F6=0,0,'Balance Sheet'!F6/(F6/365))</f>
        <v/>
      </c>
      <c r="G28" s="229">
        <f>IF(G6=0,0,'Balance Sheet'!G6/(G6/365))</f>
        <v/>
      </c>
      <c r="H28" s="229">
        <f>IF(H6=0,0,'Balance Sheet'!H6/(H6/365))</f>
        <v/>
      </c>
      <c r="I28" s="229">
        <f>IF(I6=0,0,'Balance Sheet'!I6/(I6/365))</f>
        <v/>
      </c>
    </row>
    <row r="29">
      <c r="B29" s="34" t="inlineStr">
        <is>
          <t>DPO (Days Payable Outstanding)</t>
        </is>
      </c>
      <c r="C29" s="229">
        <f>IF('Income Statement'!C27=0,0,'Balance Sheet'!C43/(ABS('Income Statement'!C27)/365))</f>
        <v/>
      </c>
      <c r="D29" s="229">
        <f>IF('Income Statement'!D27=0,0,'Balance Sheet'!D43/(ABS('Income Statement'!D27)/365))</f>
        <v/>
      </c>
      <c r="E29" s="229">
        <f>IF('Income Statement'!E27=0,0,'Balance Sheet'!E43/(ABS('Income Statement'!E27)/365))</f>
        <v/>
      </c>
      <c r="F29" s="229">
        <f>IF('Income Statement'!F27=0,0,'Balance Sheet'!F43/(ABS('Income Statement'!F27)/365))</f>
        <v/>
      </c>
      <c r="G29" s="229">
        <f>IF('Income Statement'!G27=0,0,'Balance Sheet'!G43/(ABS('Income Statement'!G27)/365))</f>
        <v/>
      </c>
      <c r="H29" s="229">
        <f>IF('Income Statement'!H27=0,0,'Balance Sheet'!H43/(ABS('Income Statement'!H27)/365))</f>
        <v/>
      </c>
      <c r="I29" s="229">
        <f>IF('Income Statement'!I27=0,0,'Balance Sheet'!I43/(ABS('Income Statement'!I27)/365))</f>
        <v/>
      </c>
    </row>
    <row r="30">
      <c r="B30" s="34" t="inlineStr">
        <is>
          <t>Inventory Days</t>
        </is>
      </c>
      <c r="C30" s="229">
        <f>IF('Income Statement'!C27=0,0,'Balance Sheet'!C7/(ABS('Income Statement'!C27)/365))</f>
        <v/>
      </c>
      <c r="D30" s="229">
        <f>IF('Income Statement'!D27=0,0,'Balance Sheet'!D7/(ABS('Income Statement'!D27)/365))</f>
        <v/>
      </c>
      <c r="E30" s="229">
        <f>IF('Income Statement'!E27=0,0,'Balance Sheet'!E7/(ABS('Income Statement'!E27)/365))</f>
        <v/>
      </c>
      <c r="F30" s="229">
        <f>IF('Income Statement'!F27=0,0,'Balance Sheet'!F7/(ABS('Income Statement'!F27)/365))</f>
        <v/>
      </c>
      <c r="G30" s="229">
        <f>IF('Income Statement'!G27=0,0,'Balance Sheet'!G7/(ABS('Income Statement'!G27)/365))</f>
        <v/>
      </c>
      <c r="H30" s="229">
        <f>IF('Income Statement'!H27=0,0,'Balance Sheet'!H7/(ABS('Income Statement'!H27)/365))</f>
        <v/>
      </c>
      <c r="I30" s="229">
        <f>IF('Income Statement'!I27=0,0,'Balance Sheet'!I7/(ABS('Income Statement'!I27)/365))</f>
        <v/>
      </c>
    </row>
    <row r="31">
      <c r="B31" s="34" t="n"/>
      <c r="C31" s="34" t="n"/>
      <c r="D31" s="34" t="n"/>
      <c r="E31" s="34" t="n"/>
      <c r="F31" s="34" t="n"/>
      <c r="G31" s="34" t="n"/>
      <c r="H31" s="34" t="n"/>
      <c r="I31" s="34" t="n"/>
    </row>
    <row r="32" ht="22" customHeight="1">
      <c r="A32" s="233" t="inlineStr">
        <is>
          <t>QoE SUMMARY</t>
        </is>
      </c>
      <c r="B32" s="234" t="n"/>
      <c r="C32" s="234" t="n"/>
      <c r="D32" s="234" t="n"/>
      <c r="E32" s="234" t="n"/>
      <c r="F32" s="234" t="n"/>
      <c r="G32" s="234" t="n"/>
      <c r="H32" s="234" t="n"/>
      <c r="I32" s="235" t="n"/>
    </row>
    <row r="33">
      <c r="B33" s="34" t="inlineStr">
        <is>
          <t>Reported EBITDA</t>
        </is>
      </c>
      <c r="C33" s="114">
        <f>'QoE'!C8</f>
        <v/>
      </c>
      <c r="D33" s="114">
        <f>'QoE'!D8</f>
        <v/>
      </c>
      <c r="E33" s="114">
        <f>'QoE'!E8</f>
        <v/>
      </c>
      <c r="F33" s="114">
        <f>'QoE'!F8</f>
        <v/>
      </c>
      <c r="G33" s="114">
        <f>'QoE'!G8</f>
        <v/>
      </c>
      <c r="H33" s="114">
        <f>'QoE'!H8</f>
        <v/>
      </c>
      <c r="I33" s="114">
        <f>'QoE'!I8</f>
        <v/>
      </c>
    </row>
    <row r="34">
      <c r="B34" s="34" t="inlineStr">
        <is>
          <t>Adjusted EBITDA</t>
        </is>
      </c>
      <c r="C34" s="114">
        <f>'QoE'!C58</f>
        <v/>
      </c>
      <c r="D34" s="114">
        <f>'QoE'!D58</f>
        <v/>
      </c>
      <c r="E34" s="114">
        <f>'QoE'!E58</f>
        <v/>
      </c>
      <c r="F34" s="114">
        <f>'QoE'!F58</f>
        <v/>
      </c>
      <c r="G34" s="114">
        <f>'QoE'!G58</f>
        <v/>
      </c>
      <c r="H34" s="114">
        <f>'QoE'!H58</f>
        <v/>
      </c>
      <c r="I34" s="114">
        <f>'QoE'!I58</f>
        <v/>
      </c>
    </row>
    <row r="35">
      <c r="B35" s="34" t="inlineStr">
        <is>
          <t>Total QoE Adjustments</t>
        </is>
      </c>
      <c r="C35" s="24">
        <f>C34-C33</f>
        <v/>
      </c>
      <c r="D35" s="24">
        <f>D34-D33</f>
        <v/>
      </c>
      <c r="E35" s="24">
        <f>E34-E33</f>
        <v/>
      </c>
      <c r="F35" s="24">
        <f>F34-F33</f>
        <v/>
      </c>
      <c r="G35" s="24">
        <f>G34-G33</f>
        <v/>
      </c>
      <c r="H35" s="24">
        <f>H34-H33</f>
        <v/>
      </c>
      <c r="I35" s="24">
        <f>I34-I33</f>
        <v/>
      </c>
    </row>
    <row r="36">
      <c r="B36" s="34" t="inlineStr">
        <is>
          <t>Adjusted EBITDA Margin %</t>
        </is>
      </c>
      <c r="C36" s="230">
        <f>'QoE'!C59</f>
        <v/>
      </c>
      <c r="D36" s="230">
        <f>'QoE'!D59</f>
        <v/>
      </c>
      <c r="E36" s="230">
        <f>'QoE'!E59</f>
        <v/>
      </c>
      <c r="F36" s="230">
        <f>'QoE'!F59</f>
        <v/>
      </c>
      <c r="G36" s="230">
        <f>'QoE'!G59</f>
        <v/>
      </c>
      <c r="H36" s="230">
        <f>'QoE'!H59</f>
        <v/>
      </c>
      <c r="I36" s="230">
        <f>'QoE'!I59</f>
        <v/>
      </c>
    </row>
    <row r="37">
      <c r="B37" s="34" t="n"/>
      <c r="C37" s="34" t="n"/>
      <c r="D37" s="34" t="n"/>
      <c r="E37" s="34" t="n"/>
      <c r="F37" s="34" t="n"/>
      <c r="G37" s="34" t="n"/>
      <c r="H37" s="34" t="n"/>
      <c r="I37" s="34" t="n"/>
    </row>
    <row r="38" ht="22" customHeight="1">
      <c r="A38" s="233" t="inlineStr">
        <is>
          <t>VALUATION METRICS</t>
        </is>
      </c>
      <c r="B38" s="234" t="n"/>
      <c r="C38" s="234" t="n"/>
      <c r="D38" s="234" t="n"/>
      <c r="E38" s="234" t="n"/>
      <c r="F38" s="234" t="n"/>
      <c r="G38" s="234" t="n"/>
      <c r="H38" s="234" t="n"/>
      <c r="I38" s="235" t="n"/>
    </row>
    <row r="39">
      <c r="B39" s="73" t="inlineStr">
        <is>
          <t>Enterprise Value (Input)</t>
        </is>
      </c>
      <c r="C39" s="35" t="n">
        <v>0</v>
      </c>
      <c r="D39" s="35" t="n">
        <v>0</v>
      </c>
      <c r="E39" s="35" t="n">
        <v>0</v>
      </c>
      <c r="F39" s="35" t="n">
        <v>0</v>
      </c>
      <c r="G39" s="35" t="n">
        <v>0</v>
      </c>
      <c r="H39" s="35" t="n">
        <v>0</v>
      </c>
      <c r="I39" s="35" t="n">
        <v>0</v>
      </c>
    </row>
    <row r="40">
      <c r="B40" s="34" t="inlineStr">
        <is>
          <t>EV / EBITDA</t>
        </is>
      </c>
      <c r="C40" s="228">
        <f>IF(C10=0,0,C39/C10)</f>
        <v/>
      </c>
      <c r="D40" s="228">
        <f>IF(D10=0,0,D39/D10)</f>
        <v/>
      </c>
      <c r="E40" s="228">
        <f>IF(E10=0,0,E39/E10)</f>
        <v/>
      </c>
      <c r="F40" s="228">
        <f>IF(F10=0,0,F39/F10)</f>
        <v/>
      </c>
      <c r="G40" s="228">
        <f>IF(G10=0,0,G39/G10)</f>
        <v/>
      </c>
      <c r="H40" s="228">
        <f>IF(H10=0,0,H39/H10)</f>
        <v/>
      </c>
      <c r="I40" s="228">
        <f>IF(I10=0,0,I39/I10)</f>
        <v/>
      </c>
    </row>
    <row r="41">
      <c r="B41" s="34" t="inlineStr">
        <is>
          <t>EV / Adjusted EBITDA</t>
        </is>
      </c>
      <c r="C41" s="228">
        <f>IF(C34=0,0,C39/C34)</f>
        <v/>
      </c>
      <c r="D41" s="228">
        <f>IF(D34=0,0,D39/D34)</f>
        <v/>
      </c>
      <c r="E41" s="228">
        <f>IF(E34=0,0,E39/E34)</f>
        <v/>
      </c>
      <c r="F41" s="228">
        <f>IF(F34=0,0,F39/F34)</f>
        <v/>
      </c>
      <c r="G41" s="228">
        <f>IF(G34=0,0,G39/G34)</f>
        <v/>
      </c>
      <c r="H41" s="228">
        <f>IF(H34=0,0,H39/H34)</f>
        <v/>
      </c>
      <c r="I41" s="228">
        <f>IF(I34=0,0,I39/I34)</f>
        <v/>
      </c>
    </row>
  </sheetData>
  <mergeCells count="8">
    <mergeCell ref="A15:I15"/>
    <mergeCell ref="A2:I2"/>
    <mergeCell ref="A5:I5"/>
    <mergeCell ref="A32:I32"/>
    <mergeCell ref="A1:I1"/>
    <mergeCell ref="A27:I27"/>
    <mergeCell ref="A38:I38"/>
    <mergeCell ref="A21:I21"/>
  </mergeCells>
  <pageMargins left="0.75" right="0.75" top="1" bottom="1" header="0.5" footer="0.5"/>
  <legacyDrawing xmlns:r="http://schemas.openxmlformats.org/officeDocument/2006/relationships" r:id="anysvml"/>
</worksheet>
</file>

<file path=xl/worksheets/sheet10.xml><?xml version="1.0" encoding="utf-8"?>
<worksheet xmlns="http://schemas.openxmlformats.org/spreadsheetml/2006/main">
  <sheetPr>
    <tabColor rgb="00808080"/>
    <outlinePr summaryBelow="1" summaryRight="1"/>
    <pageSetUpPr/>
  </sheetPr>
  <dimension ref="A1:I605"/>
  <sheetViews>
    <sheetView workbookViewId="0">
      <selection activeCell="A1" sqref="A1"/>
    </sheetView>
  </sheetViews>
  <sheetFormatPr baseColWidth="8" defaultRowHeight="15"/>
  <cols>
    <col width="6" customWidth="1" min="1" max="1"/>
    <col width="32" customWidth="1" min="2" max="2"/>
    <col width="14" customWidth="1" min="3" max="3"/>
    <col width="16" customWidth="1" min="4" max="4"/>
    <col width="14" customWidth="1" min="5" max="5"/>
    <col width="14" customWidth="1" min="6" max="6"/>
    <col width="16" customWidth="1" min="7" max="7"/>
    <col width="14" customWidth="1" min="8" max="8"/>
    <col width="14" customWidth="1" min="9" max="9"/>
  </cols>
  <sheetData>
    <row r="1">
      <c r="A1" s="70" t="inlineStr">
        <is>
          <t>MISCELLANEOUS EQUIPMENT LENDERS - CONSOLIDATED LOAN SCHEDULE</t>
        </is>
      </c>
    </row>
    <row r="3">
      <c r="A3" s="39" t="inlineStr">
        <is>
          <t>SUMMARY</t>
        </is>
      </c>
    </row>
    <row r="4">
      <c r="A4" s="71" t="inlineStr">
        <is>
          <t>#</t>
        </is>
      </c>
      <c r="B4" s="71" t="inlineStr">
        <is>
          <t>Lender</t>
        </is>
      </c>
      <c r="C4" s="71" t="inlineStr">
        <is>
          <t>Loan ID</t>
        </is>
      </c>
      <c r="D4" s="71" t="inlineStr">
        <is>
          <t>Description</t>
        </is>
      </c>
      <c r="E4" s="71" t="inlineStr">
        <is>
          <t>Balance</t>
        </is>
      </c>
      <c r="F4" s="71" t="inlineStr">
        <is>
          <t>Rate</t>
        </is>
      </c>
      <c r="G4" s="71" t="inlineStr">
        <is>
          <t>Payment</t>
        </is>
      </c>
      <c r="H4" s="71" t="inlineStr">
        <is>
          <t>Maturity</t>
        </is>
      </c>
    </row>
    <row r="5">
      <c r="A5" s="34" t="n">
        <v>1</v>
      </c>
      <c r="B5" s="34" t="inlineStr">
        <is>
          <t>Ascentium Capital</t>
        </is>
      </c>
      <c r="C5" s="34" t="inlineStr">
        <is>
          <t>01-2986-000-000-00</t>
        </is>
      </c>
      <c r="D5" s="34" t="inlineStr">
        <is>
          <t>5 Trailers Texas 393 (June 2025)</t>
        </is>
      </c>
      <c r="E5" s="72" t="n">
        <v>231925</v>
      </c>
      <c r="F5" s="34" t="inlineStr">
        <is>
          <t>8.35%</t>
        </is>
      </c>
      <c r="G5" s="72" t="n">
        <v>5089.58</v>
      </c>
      <c r="H5" s="34" t="inlineStr">
        <is>
          <t>2030-06-01</t>
        </is>
      </c>
    </row>
    <row r="6">
      <c r="A6" s="34" t="n">
        <v>2</v>
      </c>
      <c r="B6" s="34" t="inlineStr">
        <is>
          <t>Ascentium Capital</t>
        </is>
      </c>
      <c r="C6" s="34" t="inlineStr">
        <is>
          <t>01-2987-000-000-00</t>
        </is>
      </c>
      <c r="D6" s="34" t="inlineStr">
        <is>
          <t>5 Trailers Texas 489 (July 2025)</t>
        </is>
      </c>
      <c r="E6" s="72" t="n">
        <v>231611</v>
      </c>
      <c r="F6" s="34" t="inlineStr">
        <is>
          <t>8.37%</t>
        </is>
      </c>
      <c r="G6" s="72" t="n">
        <v>5084.7</v>
      </c>
      <c r="H6" s="34" t="inlineStr">
        <is>
          <t>2030-06-15</t>
        </is>
      </c>
    </row>
    <row r="7">
      <c r="A7" s="34" t="n">
        <v>3</v>
      </c>
      <c r="B7" s="34" t="inlineStr">
        <is>
          <t>Amur Financial</t>
        </is>
      </c>
      <c r="C7" s="34" t="inlineStr">
        <is>
          <t>01-2984-000-000-00</t>
        </is>
      </c>
      <c r="D7" s="34" t="inlineStr">
        <is>
          <t>10 Tanker Vacuum Pumps (Sept 2025)</t>
        </is>
      </c>
      <c r="E7" s="72" t="n">
        <v>65619</v>
      </c>
      <c r="F7" s="34" t="inlineStr">
        <is>
          <t>10.75%</t>
        </is>
      </c>
      <c r="G7" s="72" t="n">
        <v>1279.13</v>
      </c>
      <c r="H7" s="34" t="inlineStr">
        <is>
          <t>2031-08-01</t>
        </is>
      </c>
    </row>
    <row r="8">
      <c r="A8" s="34" t="n">
        <v>4</v>
      </c>
      <c r="B8" s="34" t="inlineStr">
        <is>
          <t>Daimler Truck Financial</t>
        </is>
      </c>
      <c r="C8" s="34" t="inlineStr">
        <is>
          <t>02-2902-000-080-00</t>
        </is>
      </c>
      <c r="D8" s="34" t="inlineStr">
        <is>
          <t>2 Kenworth W900L 2022 (Oct 2025)</t>
        </is>
      </c>
      <c r="E8" s="72" t="n">
        <v>234189</v>
      </c>
      <c r="F8" s="34" t="inlineStr">
        <is>
          <t>12.99%</t>
        </is>
      </c>
      <c r="G8" s="72" t="n">
        <v>6523.75</v>
      </c>
      <c r="H8" s="34" t="inlineStr">
        <is>
          <t>2029-09-04</t>
        </is>
      </c>
    </row>
    <row r="9">
      <c r="A9" s="34" t="n">
        <v>5</v>
      </c>
      <c r="B9" s="34" t="inlineStr">
        <is>
          <t>JX Financial</t>
        </is>
      </c>
      <c r="C9" s="34" t="inlineStr">
        <is>
          <t>05-2989-000-000-00</t>
        </is>
      </c>
      <c r="D9" s="34" t="inlineStr">
        <is>
          <t>50 Trailers (Trucks 53719-53768) (Oct 20</t>
        </is>
      </c>
      <c r="E9" s="72" t="n">
        <v>2387694</v>
      </c>
      <c r="F9" s="34" t="inlineStr">
        <is>
          <t>9.25%</t>
        </is>
      </c>
      <c r="G9" s="72" t="n">
        <v>44443.39</v>
      </c>
      <c r="H9" s="34" t="inlineStr">
        <is>
          <t>2031-09-23</t>
        </is>
      </c>
    </row>
    <row r="10">
      <c r="A10" s="34" t="n">
        <v>6</v>
      </c>
      <c r="B10" s="34" t="inlineStr">
        <is>
          <t>FPG (First Pacific Group)</t>
        </is>
      </c>
      <c r="C10" s="34" t="inlineStr">
        <is>
          <t>07-2920-000-104-00</t>
        </is>
      </c>
      <c r="D10" s="34" t="inlineStr">
        <is>
          <t>Houston WHS Container Forklift (Aug 2025</t>
        </is>
      </c>
      <c r="E10" s="72" t="n">
        <v>29654</v>
      </c>
      <c r="F10" s="34" t="inlineStr">
        <is>
          <t>12.23%</t>
        </is>
      </c>
      <c r="G10" s="72" t="n">
        <v>1064.65</v>
      </c>
      <c r="H10" s="34" t="inlineStr">
        <is>
          <t>2028-08-01</t>
        </is>
      </c>
    </row>
    <row r="11">
      <c r="A11" s="34" t="n">
        <v>7</v>
      </c>
      <c r="B11" s="34" t="inlineStr">
        <is>
          <t>Bank of America</t>
        </is>
      </c>
      <c r="C11" s="34" t="inlineStr">
        <is>
          <t>01-2925-000-000-00</t>
        </is>
      </c>
      <c r="D11" s="34" t="inlineStr">
        <is>
          <t>2024 Corvette (Feb 2024)</t>
        </is>
      </c>
      <c r="E11" s="72" t="n">
        <v>79604</v>
      </c>
      <c r="F11" s="34" t="inlineStr">
        <is>
          <t>8.29%</t>
        </is>
      </c>
      <c r="G11" s="72" t="n">
        <v>3481.99</v>
      </c>
      <c r="H11" s="34" t="inlineStr">
        <is>
          <t>2028-02-01</t>
        </is>
      </c>
    </row>
    <row r="12">
      <c r="A12" s="34" t="n">
        <v>8</v>
      </c>
      <c r="B12" s="34" t="inlineStr">
        <is>
          <t>Mercedes-Benz Financial</t>
        </is>
      </c>
      <c r="C12" s="34" t="inlineStr">
        <is>
          <t>05-2991-000-000-00</t>
        </is>
      </c>
      <c r="D12" s="34" t="inlineStr">
        <is>
          <t>Mercedes Vehicle (Nov 2025)</t>
        </is>
      </c>
      <c r="E12" s="72" t="n">
        <v>98186</v>
      </c>
      <c r="F12" s="34" t="inlineStr">
        <is>
          <t>N/A</t>
        </is>
      </c>
      <c r="G12" s="72" t="n">
        <v>1838.5</v>
      </c>
      <c r="H12" s="34" t="inlineStr">
        <is>
          <t>2030-10-03</t>
        </is>
      </c>
    </row>
    <row r="13">
      <c r="A13" s="73" t="inlineStr"/>
      <c r="B13" s="74" t="inlineStr">
        <is>
          <t>TOTAL</t>
        </is>
      </c>
      <c r="C13" s="73" t="n"/>
      <c r="D13" s="73" t="n"/>
      <c r="E13" s="75">
        <f>SUM(E5:E12)</f>
        <v/>
      </c>
      <c r="F13" s="73" t="n"/>
      <c r="G13" s="75">
        <f>SUM(G5:G12)</f>
        <v/>
      </c>
      <c r="H13" s="73" t="n"/>
    </row>
    <row r="16">
      <c r="A16" s="39" t="inlineStr">
        <is>
          <t>AI ANALYSIS</t>
        </is>
      </c>
    </row>
    <row r="17">
      <c r="B17" s="6" t="inlineStr">
        <is>
          <t>This sheet consolidates 8 loans from 7 smaller equipment lenders.</t>
        </is>
      </c>
    </row>
    <row r="18">
      <c r="B18" s="6" t="inlineStr">
        <is>
          <t>All loans are standard amortizing equipment finance with fixed monthly payments.</t>
        </is>
      </c>
    </row>
    <row r="19">
      <c r="B19" s="6" t="inlineStr">
        <is>
          <t>Largest loan: JX Financial - 50 Trailers ($2.39M, 66% of total).</t>
        </is>
      </c>
    </row>
    <row r="20">
      <c r="B20" s="6" t="inlineStr">
        <is>
          <t>Highest rates: Daimler (12.99%), FPG (12.23%), Amur (10.75%).</t>
        </is>
      </c>
    </row>
    <row r="21">
      <c r="B21" s="6" t="inlineStr">
        <is>
          <t>Mercedes-Benz rate not stated in source - derived from payment/term (~7.0% estimated).</t>
        </is>
      </c>
    </row>
    <row r="22">
      <c r="B22" s="6" t="inlineStr">
        <is>
          <t>Bank of America Corvette loan is personal vehicle (Zach Race car) - verify treatment.</t>
        </is>
      </c>
    </row>
    <row r="23">
      <c r="B23" s="6" t="inlineStr">
        <is>
          <t>Ascentium Capital has 2 similar loans for Texas trailers (June/July 2025).</t>
        </is>
      </c>
    </row>
    <row r="24">
      <c r="B24" s="6" t="inlineStr">
        <is>
          <t>Total: $3,358,483 balance, $68,806/mo payments (as of Nov 2025).</t>
        </is>
      </c>
    </row>
    <row r="27">
      <c r="A27" s="39" t="inlineStr">
        <is>
          <t>LOAN 1: ASCENTIUM CAPITAL</t>
        </is>
      </c>
    </row>
    <row r="28">
      <c r="B28" s="20" t="inlineStr">
        <is>
          <t>Loan ID</t>
        </is>
      </c>
      <c r="C28" t="inlineStr">
        <is>
          <t>01-2986-000-000-00</t>
        </is>
      </c>
    </row>
    <row r="29">
      <c r="B29" s="20" t="inlineStr">
        <is>
          <t>Account #</t>
        </is>
      </c>
      <c r="C29" t="inlineStr">
        <is>
          <t>2844393</t>
        </is>
      </c>
    </row>
    <row r="30">
      <c r="B30" s="20" t="inlineStr">
        <is>
          <t>Description</t>
        </is>
      </c>
      <c r="C30" t="inlineStr">
        <is>
          <t>5 Trailers Texas 393 (June 2025)</t>
        </is>
      </c>
    </row>
    <row r="31">
      <c r="B31" s="20" t="inlineStr">
        <is>
          <t>Origination Date</t>
        </is>
      </c>
      <c r="C31" t="inlineStr">
        <is>
          <t>2025-06-30</t>
        </is>
      </c>
    </row>
    <row r="32">
      <c r="B32" s="20" t="inlineStr">
        <is>
          <t>Maturity Date</t>
        </is>
      </c>
      <c r="C32" t="inlineStr">
        <is>
          <t>2030-06-01</t>
        </is>
      </c>
    </row>
    <row r="33">
      <c r="B33" s="20" t="inlineStr">
        <is>
          <t>Opening Balance</t>
        </is>
      </c>
      <c r="C33" s="3" t="n">
        <v>272877.7</v>
      </c>
    </row>
    <row r="34">
      <c r="B34" s="20" t="inlineStr">
        <is>
          <t>Remaining Balance (Nov 2025)</t>
        </is>
      </c>
      <c r="C34" s="3" t="n">
        <v>231925</v>
      </c>
    </row>
    <row r="35">
      <c r="B35" s="20" t="inlineStr">
        <is>
          <t>Annual Interest Rate</t>
        </is>
      </c>
      <c r="C35" t="inlineStr">
        <is>
          <t>8.35%</t>
        </is>
      </c>
    </row>
    <row r="36">
      <c r="B36" s="20" t="inlineStr">
        <is>
          <t>Monthly Payment</t>
        </is>
      </c>
      <c r="C36" s="3" t="n">
        <v>5089.58</v>
      </c>
    </row>
    <row r="37">
      <c r="B37" s="20" t="inlineStr">
        <is>
          <t>Loan Type</t>
        </is>
      </c>
      <c r="C37" t="inlineStr">
        <is>
          <t>AMORTIZING</t>
        </is>
      </c>
    </row>
    <row r="38">
      <c r="B38" s="20" t="inlineStr">
        <is>
          <t>Use</t>
        </is>
      </c>
      <c r="C38" t="inlineStr">
        <is>
          <t>Equipment (Trailers)</t>
        </is>
      </c>
    </row>
    <row r="39">
      <c r="B39" s="20" t="inlineStr">
        <is>
          <t>Source</t>
        </is>
      </c>
      <c r="C39" t="inlineStr">
        <is>
          <t>Meiborg_Debt_Schedule_202511.xlsx</t>
        </is>
      </c>
    </row>
    <row r="41">
      <c r="A41" s="76" t="inlineStr">
        <is>
          <t>AMORTIZATION SCHEDULE</t>
        </is>
      </c>
    </row>
    <row r="42">
      <c r="A42" s="71" t="inlineStr">
        <is>
          <t>#</t>
        </is>
      </c>
      <c r="B42" s="71" t="inlineStr">
        <is>
          <t>Month</t>
        </is>
      </c>
      <c r="C42" s="71" t="inlineStr">
        <is>
          <t>Date</t>
        </is>
      </c>
      <c r="D42" s="71" t="inlineStr">
        <is>
          <t>Opening</t>
        </is>
      </c>
      <c r="E42" s="71" t="inlineStr">
        <is>
          <t>Interest</t>
        </is>
      </c>
      <c r="F42" s="71" t="inlineStr">
        <is>
          <t>Principal</t>
        </is>
      </c>
      <c r="G42" s="71" t="inlineStr">
        <is>
          <t>Closing</t>
        </is>
      </c>
      <c r="H42" s="71" t="inlineStr">
        <is>
          <t>Cum Int</t>
        </is>
      </c>
      <c r="I42" s="71" t="inlineStr">
        <is>
          <t>Cum Prin</t>
        </is>
      </c>
    </row>
    <row r="43">
      <c r="A43" s="34" t="n">
        <v>1</v>
      </c>
      <c r="B43" s="34" t="inlineStr">
        <is>
          <t>Dec</t>
        </is>
      </c>
      <c r="C43" s="34" t="inlineStr">
        <is>
          <t>2025-12-30</t>
        </is>
      </c>
      <c r="D43" s="11" t="n">
        <v>231925</v>
      </c>
      <c r="E43" s="11">
        <f>MAX(0,D43*0.006958333333333333)</f>
        <v/>
      </c>
      <c r="F43" s="11">
        <f>MAX(0,MIN(D43,5089.58-E43))</f>
        <v/>
      </c>
      <c r="G43" s="11">
        <f>MAX(0,D43-F43)</f>
        <v/>
      </c>
      <c r="H43" s="11">
        <f>E43</f>
        <v/>
      </c>
      <c r="I43" s="11">
        <f>F43</f>
        <v/>
      </c>
    </row>
    <row r="44">
      <c r="A44" s="34" t="n">
        <v>2</v>
      </c>
      <c r="B44" s="34" t="inlineStr">
        <is>
          <t>Jan</t>
        </is>
      </c>
      <c r="C44" s="34" t="inlineStr">
        <is>
          <t>2026-01-30</t>
        </is>
      </c>
      <c r="D44" s="11">
        <f>G43</f>
        <v/>
      </c>
      <c r="E44" s="11">
        <f>MAX(0,D44*0.006958333333333333)</f>
        <v/>
      </c>
      <c r="F44" s="11">
        <f>MAX(0,MIN(D44,5089.58-E44))</f>
        <v/>
      </c>
      <c r="G44" s="11">
        <f>MAX(0,D44-F44)</f>
        <v/>
      </c>
      <c r="H44" s="11">
        <f>H43+E44</f>
        <v/>
      </c>
      <c r="I44" s="11">
        <f>I43+F44</f>
        <v/>
      </c>
    </row>
    <row r="45">
      <c r="A45" s="34" t="n">
        <v>3</v>
      </c>
      <c r="B45" s="34" t="inlineStr">
        <is>
          <t>Feb</t>
        </is>
      </c>
      <c r="C45" s="34" t="inlineStr">
        <is>
          <t>2026-02-28</t>
        </is>
      </c>
      <c r="D45" s="11">
        <f>G44</f>
        <v/>
      </c>
      <c r="E45" s="11">
        <f>MAX(0,D45*0.006958333333333333)</f>
        <v/>
      </c>
      <c r="F45" s="11">
        <f>MAX(0,MIN(D45,5089.58-E45))</f>
        <v/>
      </c>
      <c r="G45" s="11">
        <f>MAX(0,D45-F45)</f>
        <v/>
      </c>
      <c r="H45" s="11">
        <f>H44+E45</f>
        <v/>
      </c>
      <c r="I45" s="11">
        <f>I44+F45</f>
        <v/>
      </c>
    </row>
    <row r="46">
      <c r="A46" s="34" t="n">
        <v>4</v>
      </c>
      <c r="B46" s="34" t="inlineStr">
        <is>
          <t>Mar</t>
        </is>
      </c>
      <c r="C46" s="34" t="inlineStr">
        <is>
          <t>2026-03-30</t>
        </is>
      </c>
      <c r="D46" s="11">
        <f>G45</f>
        <v/>
      </c>
      <c r="E46" s="11">
        <f>MAX(0,D46*0.006958333333333333)</f>
        <v/>
      </c>
      <c r="F46" s="11">
        <f>MAX(0,MIN(D46,5089.58-E46))</f>
        <v/>
      </c>
      <c r="G46" s="11">
        <f>MAX(0,D46-F46)</f>
        <v/>
      </c>
      <c r="H46" s="11">
        <f>H45+E46</f>
        <v/>
      </c>
      <c r="I46" s="11">
        <f>I45+F46</f>
        <v/>
      </c>
    </row>
    <row r="47">
      <c r="A47" s="34" t="n">
        <v>5</v>
      </c>
      <c r="B47" s="34" t="inlineStr">
        <is>
          <t>Apr</t>
        </is>
      </c>
      <c r="C47" s="34" t="inlineStr">
        <is>
          <t>2026-04-30</t>
        </is>
      </c>
      <c r="D47" s="11">
        <f>G46</f>
        <v/>
      </c>
      <c r="E47" s="11">
        <f>MAX(0,D47*0.006958333333333333)</f>
        <v/>
      </c>
      <c r="F47" s="11">
        <f>MAX(0,MIN(D47,5089.58-E47))</f>
        <v/>
      </c>
      <c r="G47" s="11">
        <f>MAX(0,D47-F47)</f>
        <v/>
      </c>
      <c r="H47" s="11">
        <f>H46+E47</f>
        <v/>
      </c>
      <c r="I47" s="11">
        <f>I46+F47</f>
        <v/>
      </c>
    </row>
    <row r="48">
      <c r="A48" s="34" t="n">
        <v>6</v>
      </c>
      <c r="B48" s="34" t="inlineStr">
        <is>
          <t>May</t>
        </is>
      </c>
      <c r="C48" s="34" t="inlineStr">
        <is>
          <t>2026-05-30</t>
        </is>
      </c>
      <c r="D48" s="11">
        <f>G47</f>
        <v/>
      </c>
      <c r="E48" s="11">
        <f>MAX(0,D48*0.006958333333333333)</f>
        <v/>
      </c>
      <c r="F48" s="11">
        <f>MAX(0,MIN(D48,5089.58-E48))</f>
        <v/>
      </c>
      <c r="G48" s="11">
        <f>MAX(0,D48-F48)</f>
        <v/>
      </c>
      <c r="H48" s="11">
        <f>H47+E48</f>
        <v/>
      </c>
      <c r="I48" s="11">
        <f>I47+F48</f>
        <v/>
      </c>
    </row>
    <row r="49">
      <c r="A49" s="34" t="n">
        <v>7</v>
      </c>
      <c r="B49" s="34" t="inlineStr">
        <is>
          <t>Jun</t>
        </is>
      </c>
      <c r="C49" s="34" t="inlineStr">
        <is>
          <t>2026-06-30</t>
        </is>
      </c>
      <c r="D49" s="11">
        <f>G48</f>
        <v/>
      </c>
      <c r="E49" s="11">
        <f>MAX(0,D49*0.006958333333333333)</f>
        <v/>
      </c>
      <c r="F49" s="11">
        <f>MAX(0,MIN(D49,5089.58-E49))</f>
        <v/>
      </c>
      <c r="G49" s="11">
        <f>MAX(0,D49-F49)</f>
        <v/>
      </c>
      <c r="H49" s="11">
        <f>H48+E49</f>
        <v/>
      </c>
      <c r="I49" s="11">
        <f>I48+F49</f>
        <v/>
      </c>
    </row>
    <row r="50">
      <c r="A50" s="34" t="n">
        <v>8</v>
      </c>
      <c r="B50" s="34" t="inlineStr">
        <is>
          <t>Jul</t>
        </is>
      </c>
      <c r="C50" s="34" t="inlineStr">
        <is>
          <t>2026-07-30</t>
        </is>
      </c>
      <c r="D50" s="11">
        <f>G49</f>
        <v/>
      </c>
      <c r="E50" s="11">
        <f>MAX(0,D50*0.006958333333333333)</f>
        <v/>
      </c>
      <c r="F50" s="11">
        <f>MAX(0,MIN(D50,5089.58-E50))</f>
        <v/>
      </c>
      <c r="G50" s="11">
        <f>MAX(0,D50-F50)</f>
        <v/>
      </c>
      <c r="H50" s="11">
        <f>H49+E50</f>
        <v/>
      </c>
      <c r="I50" s="11">
        <f>I49+F50</f>
        <v/>
      </c>
    </row>
    <row r="51">
      <c r="A51" s="34" t="n">
        <v>9</v>
      </c>
      <c r="B51" s="34" t="inlineStr">
        <is>
          <t>Aug</t>
        </is>
      </c>
      <c r="C51" s="34" t="inlineStr">
        <is>
          <t>2026-08-30</t>
        </is>
      </c>
      <c r="D51" s="11">
        <f>G50</f>
        <v/>
      </c>
      <c r="E51" s="11">
        <f>MAX(0,D51*0.006958333333333333)</f>
        <v/>
      </c>
      <c r="F51" s="11">
        <f>MAX(0,MIN(D51,5089.58-E51))</f>
        <v/>
      </c>
      <c r="G51" s="11">
        <f>MAX(0,D51-F51)</f>
        <v/>
      </c>
      <c r="H51" s="11">
        <f>H50+E51</f>
        <v/>
      </c>
      <c r="I51" s="11">
        <f>I50+F51</f>
        <v/>
      </c>
    </row>
    <row r="52">
      <c r="A52" s="34" t="n">
        <v>10</v>
      </c>
      <c r="B52" s="34" t="inlineStr">
        <is>
          <t>Sep</t>
        </is>
      </c>
      <c r="C52" s="34" t="inlineStr">
        <is>
          <t>2026-09-30</t>
        </is>
      </c>
      <c r="D52" s="11">
        <f>G51</f>
        <v/>
      </c>
      <c r="E52" s="11">
        <f>MAX(0,D52*0.006958333333333333)</f>
        <v/>
      </c>
      <c r="F52" s="11">
        <f>MAX(0,MIN(D52,5089.58-E52))</f>
        <v/>
      </c>
      <c r="G52" s="11">
        <f>MAX(0,D52-F52)</f>
        <v/>
      </c>
      <c r="H52" s="11">
        <f>H51+E52</f>
        <v/>
      </c>
      <c r="I52" s="11">
        <f>I51+F52</f>
        <v/>
      </c>
    </row>
    <row r="53">
      <c r="A53" s="34" t="n">
        <v>11</v>
      </c>
      <c r="B53" s="34" t="inlineStr">
        <is>
          <t>Oct</t>
        </is>
      </c>
      <c r="C53" s="34" t="inlineStr">
        <is>
          <t>2026-10-30</t>
        </is>
      </c>
      <c r="D53" s="11">
        <f>G52</f>
        <v/>
      </c>
      <c r="E53" s="11">
        <f>MAX(0,D53*0.006958333333333333)</f>
        <v/>
      </c>
      <c r="F53" s="11">
        <f>MAX(0,MIN(D53,5089.58-E53))</f>
        <v/>
      </c>
      <c r="G53" s="11">
        <f>MAX(0,D53-F53)</f>
        <v/>
      </c>
      <c r="H53" s="11">
        <f>H52+E53</f>
        <v/>
      </c>
      <c r="I53" s="11">
        <f>I52+F53</f>
        <v/>
      </c>
    </row>
    <row r="54">
      <c r="A54" s="34" t="n">
        <v>12</v>
      </c>
      <c r="B54" s="34" t="inlineStr">
        <is>
          <t>Nov</t>
        </is>
      </c>
      <c r="C54" s="34" t="inlineStr">
        <is>
          <t>2026-11-30</t>
        </is>
      </c>
      <c r="D54" s="11">
        <f>G53</f>
        <v/>
      </c>
      <c r="E54" s="11">
        <f>MAX(0,D54*0.006958333333333333)</f>
        <v/>
      </c>
      <c r="F54" s="11">
        <f>MAX(0,MIN(D54,5089.58-E54))</f>
        <v/>
      </c>
      <c r="G54" s="11">
        <f>MAX(0,D54-F54)</f>
        <v/>
      </c>
      <c r="H54" s="11">
        <f>H53+E54</f>
        <v/>
      </c>
      <c r="I54" s="11">
        <f>I53+F54</f>
        <v/>
      </c>
    </row>
    <row r="55">
      <c r="A55" s="34" t="n">
        <v>13</v>
      </c>
      <c r="B55" s="34" t="inlineStr">
        <is>
          <t>Dec</t>
        </is>
      </c>
      <c r="C55" s="34" t="inlineStr">
        <is>
          <t>2026-12-30</t>
        </is>
      </c>
      <c r="D55" s="11">
        <f>G54</f>
        <v/>
      </c>
      <c r="E55" s="11">
        <f>MAX(0,D55*0.006958333333333333)</f>
        <v/>
      </c>
      <c r="F55" s="11">
        <f>MAX(0,MIN(D55,5089.58-E55))</f>
        <v/>
      </c>
      <c r="G55" s="11">
        <f>MAX(0,D55-F55)</f>
        <v/>
      </c>
      <c r="H55" s="11">
        <f>H54+E55</f>
        <v/>
      </c>
      <c r="I55" s="11">
        <f>I54+F55</f>
        <v/>
      </c>
    </row>
    <row r="56">
      <c r="A56" s="34" t="n">
        <v>14</v>
      </c>
      <c r="B56" s="34" t="inlineStr">
        <is>
          <t>Jan</t>
        </is>
      </c>
      <c r="C56" s="34" t="inlineStr">
        <is>
          <t>2027-01-30</t>
        </is>
      </c>
      <c r="D56" s="11">
        <f>G55</f>
        <v/>
      </c>
      <c r="E56" s="11">
        <f>MAX(0,D56*0.006958333333333333)</f>
        <v/>
      </c>
      <c r="F56" s="11">
        <f>MAX(0,MIN(D56,5089.58-E56))</f>
        <v/>
      </c>
      <c r="G56" s="11">
        <f>MAX(0,D56-F56)</f>
        <v/>
      </c>
      <c r="H56" s="11">
        <f>H55+E56</f>
        <v/>
      </c>
      <c r="I56" s="11">
        <f>I55+F56</f>
        <v/>
      </c>
    </row>
    <row r="57">
      <c r="A57" s="34" t="n">
        <v>15</v>
      </c>
      <c r="B57" s="34" t="inlineStr">
        <is>
          <t>Feb</t>
        </is>
      </c>
      <c r="C57" s="34" t="inlineStr">
        <is>
          <t>2027-02-28</t>
        </is>
      </c>
      <c r="D57" s="11">
        <f>G56</f>
        <v/>
      </c>
      <c r="E57" s="11">
        <f>MAX(0,D57*0.006958333333333333)</f>
        <v/>
      </c>
      <c r="F57" s="11">
        <f>MAX(0,MIN(D57,5089.58-E57))</f>
        <v/>
      </c>
      <c r="G57" s="11">
        <f>MAX(0,D57-F57)</f>
        <v/>
      </c>
      <c r="H57" s="11">
        <f>H56+E57</f>
        <v/>
      </c>
      <c r="I57" s="11">
        <f>I56+F57</f>
        <v/>
      </c>
    </row>
    <row r="58">
      <c r="A58" s="34" t="n">
        <v>16</v>
      </c>
      <c r="B58" s="34" t="inlineStr">
        <is>
          <t>Mar</t>
        </is>
      </c>
      <c r="C58" s="34" t="inlineStr">
        <is>
          <t>2027-03-30</t>
        </is>
      </c>
      <c r="D58" s="11">
        <f>G57</f>
        <v/>
      </c>
      <c r="E58" s="11">
        <f>MAX(0,D58*0.006958333333333333)</f>
        <v/>
      </c>
      <c r="F58" s="11">
        <f>MAX(0,MIN(D58,5089.58-E58))</f>
        <v/>
      </c>
      <c r="G58" s="11">
        <f>MAX(0,D58-F58)</f>
        <v/>
      </c>
      <c r="H58" s="11">
        <f>H57+E58</f>
        <v/>
      </c>
      <c r="I58" s="11">
        <f>I57+F58</f>
        <v/>
      </c>
    </row>
    <row r="59">
      <c r="A59" s="34" t="n">
        <v>17</v>
      </c>
      <c r="B59" s="34" t="inlineStr">
        <is>
          <t>Apr</t>
        </is>
      </c>
      <c r="C59" s="34" t="inlineStr">
        <is>
          <t>2027-04-30</t>
        </is>
      </c>
      <c r="D59" s="11">
        <f>G58</f>
        <v/>
      </c>
      <c r="E59" s="11">
        <f>MAX(0,D59*0.006958333333333333)</f>
        <v/>
      </c>
      <c r="F59" s="11">
        <f>MAX(0,MIN(D59,5089.58-E59))</f>
        <v/>
      </c>
      <c r="G59" s="11">
        <f>MAX(0,D59-F59)</f>
        <v/>
      </c>
      <c r="H59" s="11">
        <f>H58+E59</f>
        <v/>
      </c>
      <c r="I59" s="11">
        <f>I58+F59</f>
        <v/>
      </c>
    </row>
    <row r="60">
      <c r="A60" s="34" t="n">
        <v>18</v>
      </c>
      <c r="B60" s="34" t="inlineStr">
        <is>
          <t>May</t>
        </is>
      </c>
      <c r="C60" s="34" t="inlineStr">
        <is>
          <t>2027-05-30</t>
        </is>
      </c>
      <c r="D60" s="11">
        <f>G59</f>
        <v/>
      </c>
      <c r="E60" s="11">
        <f>MAX(0,D60*0.006958333333333333)</f>
        <v/>
      </c>
      <c r="F60" s="11">
        <f>MAX(0,MIN(D60,5089.58-E60))</f>
        <v/>
      </c>
      <c r="G60" s="11">
        <f>MAX(0,D60-F60)</f>
        <v/>
      </c>
      <c r="H60" s="11">
        <f>H59+E60</f>
        <v/>
      </c>
      <c r="I60" s="11">
        <f>I59+F60</f>
        <v/>
      </c>
    </row>
    <row r="61">
      <c r="A61" s="34" t="n">
        <v>19</v>
      </c>
      <c r="B61" s="34" t="inlineStr">
        <is>
          <t>Jun</t>
        </is>
      </c>
      <c r="C61" s="34" t="inlineStr">
        <is>
          <t>2027-06-30</t>
        </is>
      </c>
      <c r="D61" s="11">
        <f>G60</f>
        <v/>
      </c>
      <c r="E61" s="11">
        <f>MAX(0,D61*0.006958333333333333)</f>
        <v/>
      </c>
      <c r="F61" s="11">
        <f>MAX(0,MIN(D61,5089.58-E61))</f>
        <v/>
      </c>
      <c r="G61" s="11">
        <f>MAX(0,D61-F61)</f>
        <v/>
      </c>
      <c r="H61" s="11">
        <f>H60+E61</f>
        <v/>
      </c>
      <c r="I61" s="11">
        <f>I60+F61</f>
        <v/>
      </c>
    </row>
    <row r="62">
      <c r="A62" s="34" t="n">
        <v>20</v>
      </c>
      <c r="B62" s="34" t="inlineStr">
        <is>
          <t>Jul</t>
        </is>
      </c>
      <c r="C62" s="34" t="inlineStr">
        <is>
          <t>2027-07-30</t>
        </is>
      </c>
      <c r="D62" s="11">
        <f>G61</f>
        <v/>
      </c>
      <c r="E62" s="11">
        <f>MAX(0,D62*0.006958333333333333)</f>
        <v/>
      </c>
      <c r="F62" s="11">
        <f>MAX(0,MIN(D62,5089.58-E62))</f>
        <v/>
      </c>
      <c r="G62" s="11">
        <f>MAX(0,D62-F62)</f>
        <v/>
      </c>
      <c r="H62" s="11">
        <f>H61+E62</f>
        <v/>
      </c>
      <c r="I62" s="11">
        <f>I61+F62</f>
        <v/>
      </c>
    </row>
    <row r="63">
      <c r="A63" s="34" t="n">
        <v>21</v>
      </c>
      <c r="B63" s="34" t="inlineStr">
        <is>
          <t>Aug</t>
        </is>
      </c>
      <c r="C63" s="34" t="inlineStr">
        <is>
          <t>2027-08-30</t>
        </is>
      </c>
      <c r="D63" s="11">
        <f>G62</f>
        <v/>
      </c>
      <c r="E63" s="11">
        <f>MAX(0,D63*0.006958333333333333)</f>
        <v/>
      </c>
      <c r="F63" s="11">
        <f>MAX(0,MIN(D63,5089.58-E63))</f>
        <v/>
      </c>
      <c r="G63" s="11">
        <f>MAX(0,D63-F63)</f>
        <v/>
      </c>
      <c r="H63" s="11">
        <f>H62+E63</f>
        <v/>
      </c>
      <c r="I63" s="11">
        <f>I62+F63</f>
        <v/>
      </c>
    </row>
    <row r="64">
      <c r="A64" s="34" t="n">
        <v>22</v>
      </c>
      <c r="B64" s="34" t="inlineStr">
        <is>
          <t>Sep</t>
        </is>
      </c>
      <c r="C64" s="34" t="inlineStr">
        <is>
          <t>2027-09-30</t>
        </is>
      </c>
      <c r="D64" s="11">
        <f>G63</f>
        <v/>
      </c>
      <c r="E64" s="11">
        <f>MAX(0,D64*0.006958333333333333)</f>
        <v/>
      </c>
      <c r="F64" s="11">
        <f>MAX(0,MIN(D64,5089.58-E64))</f>
        <v/>
      </c>
      <c r="G64" s="11">
        <f>MAX(0,D64-F64)</f>
        <v/>
      </c>
      <c r="H64" s="11">
        <f>H63+E64</f>
        <v/>
      </c>
      <c r="I64" s="11">
        <f>I63+F64</f>
        <v/>
      </c>
    </row>
    <row r="65">
      <c r="A65" s="34" t="n">
        <v>23</v>
      </c>
      <c r="B65" s="34" t="inlineStr">
        <is>
          <t>Oct</t>
        </is>
      </c>
      <c r="C65" s="34" t="inlineStr">
        <is>
          <t>2027-10-30</t>
        </is>
      </c>
      <c r="D65" s="11">
        <f>G64</f>
        <v/>
      </c>
      <c r="E65" s="11">
        <f>MAX(0,D65*0.006958333333333333)</f>
        <v/>
      </c>
      <c r="F65" s="11">
        <f>MAX(0,MIN(D65,5089.58-E65))</f>
        <v/>
      </c>
      <c r="G65" s="11">
        <f>MAX(0,D65-F65)</f>
        <v/>
      </c>
      <c r="H65" s="11">
        <f>H64+E65</f>
        <v/>
      </c>
      <c r="I65" s="11">
        <f>I64+F65</f>
        <v/>
      </c>
    </row>
    <row r="66">
      <c r="A66" s="34" t="n">
        <v>24</v>
      </c>
      <c r="B66" s="34" t="inlineStr">
        <is>
          <t>Nov</t>
        </is>
      </c>
      <c r="C66" s="34" t="inlineStr">
        <is>
          <t>2027-11-30</t>
        </is>
      </c>
      <c r="D66" s="11">
        <f>G65</f>
        <v/>
      </c>
      <c r="E66" s="11">
        <f>MAX(0,D66*0.006958333333333333)</f>
        <v/>
      </c>
      <c r="F66" s="11">
        <f>MAX(0,MIN(D66,5089.58-E66))</f>
        <v/>
      </c>
      <c r="G66" s="11">
        <f>MAX(0,D66-F66)</f>
        <v/>
      </c>
      <c r="H66" s="11">
        <f>H65+E66</f>
        <v/>
      </c>
      <c r="I66" s="11">
        <f>I65+F66</f>
        <v/>
      </c>
    </row>
    <row r="67">
      <c r="A67" s="34" t="n">
        <v>25</v>
      </c>
      <c r="B67" s="34" t="inlineStr">
        <is>
          <t>Dec</t>
        </is>
      </c>
      <c r="C67" s="34" t="inlineStr">
        <is>
          <t>2027-12-30</t>
        </is>
      </c>
      <c r="D67" s="11">
        <f>G66</f>
        <v/>
      </c>
      <c r="E67" s="11">
        <f>MAX(0,D67*0.006958333333333333)</f>
        <v/>
      </c>
      <c r="F67" s="11">
        <f>MAX(0,MIN(D67,5089.58-E67))</f>
        <v/>
      </c>
      <c r="G67" s="11">
        <f>MAX(0,D67-F67)</f>
        <v/>
      </c>
      <c r="H67" s="11">
        <f>H66+E67</f>
        <v/>
      </c>
      <c r="I67" s="11">
        <f>I66+F67</f>
        <v/>
      </c>
    </row>
    <row r="68">
      <c r="A68" s="34" t="n">
        <v>26</v>
      </c>
      <c r="B68" s="34" t="inlineStr">
        <is>
          <t>Jan</t>
        </is>
      </c>
      <c r="C68" s="34" t="inlineStr">
        <is>
          <t>2028-01-30</t>
        </is>
      </c>
      <c r="D68" s="11">
        <f>G67</f>
        <v/>
      </c>
      <c r="E68" s="11">
        <f>MAX(0,D68*0.006958333333333333)</f>
        <v/>
      </c>
      <c r="F68" s="11">
        <f>MAX(0,MIN(D68,5089.58-E68))</f>
        <v/>
      </c>
      <c r="G68" s="11">
        <f>MAX(0,D68-F68)</f>
        <v/>
      </c>
      <c r="H68" s="11">
        <f>H67+E68</f>
        <v/>
      </c>
      <c r="I68" s="11">
        <f>I67+F68</f>
        <v/>
      </c>
    </row>
    <row r="69">
      <c r="A69" s="34" t="n">
        <v>27</v>
      </c>
      <c r="B69" s="34" t="inlineStr">
        <is>
          <t>Feb</t>
        </is>
      </c>
      <c r="C69" s="34" t="inlineStr">
        <is>
          <t>2028-02-29</t>
        </is>
      </c>
      <c r="D69" s="11">
        <f>G68</f>
        <v/>
      </c>
      <c r="E69" s="11">
        <f>MAX(0,D69*0.006958333333333333)</f>
        <v/>
      </c>
      <c r="F69" s="11">
        <f>MAX(0,MIN(D69,5089.58-E69))</f>
        <v/>
      </c>
      <c r="G69" s="11">
        <f>MAX(0,D69-F69)</f>
        <v/>
      </c>
      <c r="H69" s="11">
        <f>H68+E69</f>
        <v/>
      </c>
      <c r="I69" s="11">
        <f>I68+F69</f>
        <v/>
      </c>
    </row>
    <row r="70">
      <c r="A70" s="34" t="n">
        <v>28</v>
      </c>
      <c r="B70" s="34" t="inlineStr">
        <is>
          <t>Mar</t>
        </is>
      </c>
      <c r="C70" s="34" t="inlineStr">
        <is>
          <t>2028-03-30</t>
        </is>
      </c>
      <c r="D70" s="11">
        <f>G69</f>
        <v/>
      </c>
      <c r="E70" s="11">
        <f>MAX(0,D70*0.006958333333333333)</f>
        <v/>
      </c>
      <c r="F70" s="11">
        <f>MAX(0,MIN(D70,5089.58-E70))</f>
        <v/>
      </c>
      <c r="G70" s="11">
        <f>MAX(0,D70-F70)</f>
        <v/>
      </c>
      <c r="H70" s="11">
        <f>H69+E70</f>
        <v/>
      </c>
      <c r="I70" s="11">
        <f>I69+F70</f>
        <v/>
      </c>
    </row>
    <row r="71">
      <c r="A71" s="34" t="n">
        <v>29</v>
      </c>
      <c r="B71" s="34" t="inlineStr">
        <is>
          <t>Apr</t>
        </is>
      </c>
      <c r="C71" s="34" t="inlineStr">
        <is>
          <t>2028-04-30</t>
        </is>
      </c>
      <c r="D71" s="11">
        <f>G70</f>
        <v/>
      </c>
      <c r="E71" s="11">
        <f>MAX(0,D71*0.006958333333333333)</f>
        <v/>
      </c>
      <c r="F71" s="11">
        <f>MAX(0,MIN(D71,5089.58-E71))</f>
        <v/>
      </c>
      <c r="G71" s="11">
        <f>MAX(0,D71-F71)</f>
        <v/>
      </c>
      <c r="H71" s="11">
        <f>H70+E71</f>
        <v/>
      </c>
      <c r="I71" s="11">
        <f>I70+F71</f>
        <v/>
      </c>
    </row>
    <row r="72">
      <c r="A72" s="34" t="n">
        <v>30</v>
      </c>
      <c r="B72" s="34" t="inlineStr">
        <is>
          <t>May</t>
        </is>
      </c>
      <c r="C72" s="34" t="inlineStr">
        <is>
          <t>2028-05-30</t>
        </is>
      </c>
      <c r="D72" s="11">
        <f>G71</f>
        <v/>
      </c>
      <c r="E72" s="11">
        <f>MAX(0,D72*0.006958333333333333)</f>
        <v/>
      </c>
      <c r="F72" s="11">
        <f>MAX(0,MIN(D72,5089.58-E72))</f>
        <v/>
      </c>
      <c r="G72" s="11">
        <f>MAX(0,D72-F72)</f>
        <v/>
      </c>
      <c r="H72" s="11">
        <f>H71+E72</f>
        <v/>
      </c>
      <c r="I72" s="11">
        <f>I71+F72</f>
        <v/>
      </c>
    </row>
    <row r="73">
      <c r="A73" s="34" t="n">
        <v>31</v>
      </c>
      <c r="B73" s="34" t="inlineStr">
        <is>
          <t>Jun</t>
        </is>
      </c>
      <c r="C73" s="34" t="inlineStr">
        <is>
          <t>2028-06-30</t>
        </is>
      </c>
      <c r="D73" s="11">
        <f>G72</f>
        <v/>
      </c>
      <c r="E73" s="11">
        <f>MAX(0,D73*0.006958333333333333)</f>
        <v/>
      </c>
      <c r="F73" s="11">
        <f>MAX(0,MIN(D73,5089.58-E73))</f>
        <v/>
      </c>
      <c r="G73" s="11">
        <f>MAX(0,D73-F73)</f>
        <v/>
      </c>
      <c r="H73" s="11">
        <f>H72+E73</f>
        <v/>
      </c>
      <c r="I73" s="11">
        <f>I72+F73</f>
        <v/>
      </c>
    </row>
    <row r="74">
      <c r="A74" s="34" t="n">
        <v>32</v>
      </c>
      <c r="B74" s="34" t="inlineStr">
        <is>
          <t>Jul</t>
        </is>
      </c>
      <c r="C74" s="34" t="inlineStr">
        <is>
          <t>2028-07-30</t>
        </is>
      </c>
      <c r="D74" s="11">
        <f>G73</f>
        <v/>
      </c>
      <c r="E74" s="11">
        <f>MAX(0,D74*0.006958333333333333)</f>
        <v/>
      </c>
      <c r="F74" s="11">
        <f>MAX(0,MIN(D74,5089.58-E74))</f>
        <v/>
      </c>
      <c r="G74" s="11">
        <f>MAX(0,D74-F74)</f>
        <v/>
      </c>
      <c r="H74" s="11">
        <f>H73+E74</f>
        <v/>
      </c>
      <c r="I74" s="11">
        <f>I73+F74</f>
        <v/>
      </c>
    </row>
    <row r="75">
      <c r="A75" s="34" t="n">
        <v>33</v>
      </c>
      <c r="B75" s="34" t="inlineStr">
        <is>
          <t>Aug</t>
        </is>
      </c>
      <c r="C75" s="34" t="inlineStr">
        <is>
          <t>2028-08-30</t>
        </is>
      </c>
      <c r="D75" s="11">
        <f>G74</f>
        <v/>
      </c>
      <c r="E75" s="11">
        <f>MAX(0,D75*0.006958333333333333)</f>
        <v/>
      </c>
      <c r="F75" s="11">
        <f>MAX(0,MIN(D75,5089.58-E75))</f>
        <v/>
      </c>
      <c r="G75" s="11">
        <f>MAX(0,D75-F75)</f>
        <v/>
      </c>
      <c r="H75" s="11">
        <f>H74+E75</f>
        <v/>
      </c>
      <c r="I75" s="11">
        <f>I74+F75</f>
        <v/>
      </c>
    </row>
    <row r="76">
      <c r="A76" s="34" t="n">
        <v>34</v>
      </c>
      <c r="B76" s="34" t="inlineStr">
        <is>
          <t>Sep</t>
        </is>
      </c>
      <c r="C76" s="34" t="inlineStr">
        <is>
          <t>2028-09-30</t>
        </is>
      </c>
      <c r="D76" s="11">
        <f>G75</f>
        <v/>
      </c>
      <c r="E76" s="11">
        <f>MAX(0,D76*0.006958333333333333)</f>
        <v/>
      </c>
      <c r="F76" s="11">
        <f>MAX(0,MIN(D76,5089.58-E76))</f>
        <v/>
      </c>
      <c r="G76" s="11">
        <f>MAX(0,D76-F76)</f>
        <v/>
      </c>
      <c r="H76" s="11">
        <f>H75+E76</f>
        <v/>
      </c>
      <c r="I76" s="11">
        <f>I75+F76</f>
        <v/>
      </c>
    </row>
    <row r="77">
      <c r="A77" s="34" t="n">
        <v>35</v>
      </c>
      <c r="B77" s="34" t="inlineStr">
        <is>
          <t>Oct</t>
        </is>
      </c>
      <c r="C77" s="34" t="inlineStr">
        <is>
          <t>2028-10-30</t>
        </is>
      </c>
      <c r="D77" s="11">
        <f>G76</f>
        <v/>
      </c>
      <c r="E77" s="11">
        <f>MAX(0,D77*0.006958333333333333)</f>
        <v/>
      </c>
      <c r="F77" s="11">
        <f>MAX(0,MIN(D77,5089.58-E77))</f>
        <v/>
      </c>
      <c r="G77" s="11">
        <f>MAX(0,D77-F77)</f>
        <v/>
      </c>
      <c r="H77" s="11">
        <f>H76+E77</f>
        <v/>
      </c>
      <c r="I77" s="11">
        <f>I76+F77</f>
        <v/>
      </c>
    </row>
    <row r="78">
      <c r="A78" s="34" t="n">
        <v>36</v>
      </c>
      <c r="B78" s="34" t="inlineStr">
        <is>
          <t>Nov</t>
        </is>
      </c>
      <c r="C78" s="34" t="inlineStr">
        <is>
          <t>2028-11-30</t>
        </is>
      </c>
      <c r="D78" s="11">
        <f>G77</f>
        <v/>
      </c>
      <c r="E78" s="11">
        <f>MAX(0,D78*0.006958333333333333)</f>
        <v/>
      </c>
      <c r="F78" s="11">
        <f>MAX(0,MIN(D78,5089.58-E78))</f>
        <v/>
      </c>
      <c r="G78" s="11">
        <f>MAX(0,D78-F78)</f>
        <v/>
      </c>
      <c r="H78" s="11">
        <f>H77+E78</f>
        <v/>
      </c>
      <c r="I78" s="11">
        <f>I77+F78</f>
        <v/>
      </c>
    </row>
    <row r="79">
      <c r="A79" s="34" t="n">
        <v>37</v>
      </c>
      <c r="B79" s="34" t="inlineStr">
        <is>
          <t>Dec</t>
        </is>
      </c>
      <c r="C79" s="34" t="inlineStr">
        <is>
          <t>2028-12-30</t>
        </is>
      </c>
      <c r="D79" s="11">
        <f>G78</f>
        <v/>
      </c>
      <c r="E79" s="11">
        <f>MAX(0,D79*0.006958333333333333)</f>
        <v/>
      </c>
      <c r="F79" s="11">
        <f>MAX(0,MIN(D79,5089.58-E79))</f>
        <v/>
      </c>
      <c r="G79" s="11">
        <f>MAX(0,D79-F79)</f>
        <v/>
      </c>
      <c r="H79" s="11">
        <f>H78+E79</f>
        <v/>
      </c>
      <c r="I79" s="11">
        <f>I78+F79</f>
        <v/>
      </c>
    </row>
    <row r="80">
      <c r="A80" s="34" t="n">
        <v>38</v>
      </c>
      <c r="B80" s="34" t="inlineStr">
        <is>
          <t>Jan</t>
        </is>
      </c>
      <c r="C80" s="34" t="inlineStr">
        <is>
          <t>2029-01-30</t>
        </is>
      </c>
      <c r="D80" s="11">
        <f>G79</f>
        <v/>
      </c>
      <c r="E80" s="11">
        <f>MAX(0,D80*0.006958333333333333)</f>
        <v/>
      </c>
      <c r="F80" s="11">
        <f>MAX(0,MIN(D80,5089.58-E80))</f>
        <v/>
      </c>
      <c r="G80" s="11">
        <f>MAX(0,D80-F80)</f>
        <v/>
      </c>
      <c r="H80" s="11">
        <f>H79+E80</f>
        <v/>
      </c>
      <c r="I80" s="11">
        <f>I79+F80</f>
        <v/>
      </c>
    </row>
    <row r="81">
      <c r="A81" s="34" t="n">
        <v>39</v>
      </c>
      <c r="B81" s="34" t="inlineStr">
        <is>
          <t>Feb</t>
        </is>
      </c>
      <c r="C81" s="34" t="inlineStr">
        <is>
          <t>2029-02-28</t>
        </is>
      </c>
      <c r="D81" s="11">
        <f>G80</f>
        <v/>
      </c>
      <c r="E81" s="11">
        <f>MAX(0,D81*0.006958333333333333)</f>
        <v/>
      </c>
      <c r="F81" s="11">
        <f>MAX(0,MIN(D81,5089.58-E81))</f>
        <v/>
      </c>
      <c r="G81" s="11">
        <f>MAX(0,D81-F81)</f>
        <v/>
      </c>
      <c r="H81" s="11">
        <f>H80+E81</f>
        <v/>
      </c>
      <c r="I81" s="11">
        <f>I80+F81</f>
        <v/>
      </c>
    </row>
    <row r="82">
      <c r="A82" s="34" t="n">
        <v>40</v>
      </c>
      <c r="B82" s="34" t="inlineStr">
        <is>
          <t>Mar</t>
        </is>
      </c>
      <c r="C82" s="34" t="inlineStr">
        <is>
          <t>2029-03-30</t>
        </is>
      </c>
      <c r="D82" s="11">
        <f>G81</f>
        <v/>
      </c>
      <c r="E82" s="11">
        <f>MAX(0,D82*0.006958333333333333)</f>
        <v/>
      </c>
      <c r="F82" s="11">
        <f>MAX(0,MIN(D82,5089.58-E82))</f>
        <v/>
      </c>
      <c r="G82" s="11">
        <f>MAX(0,D82-F82)</f>
        <v/>
      </c>
      <c r="H82" s="11">
        <f>H81+E82</f>
        <v/>
      </c>
      <c r="I82" s="11">
        <f>I81+F82</f>
        <v/>
      </c>
    </row>
    <row r="83">
      <c r="A83" s="34" t="n">
        <v>41</v>
      </c>
      <c r="B83" s="34" t="inlineStr">
        <is>
          <t>Apr</t>
        </is>
      </c>
      <c r="C83" s="34" t="inlineStr">
        <is>
          <t>2029-04-30</t>
        </is>
      </c>
      <c r="D83" s="11">
        <f>G82</f>
        <v/>
      </c>
      <c r="E83" s="11">
        <f>MAX(0,D83*0.006958333333333333)</f>
        <v/>
      </c>
      <c r="F83" s="11">
        <f>MAX(0,MIN(D83,5089.58-E83))</f>
        <v/>
      </c>
      <c r="G83" s="11">
        <f>MAX(0,D83-F83)</f>
        <v/>
      </c>
      <c r="H83" s="11">
        <f>H82+E83</f>
        <v/>
      </c>
      <c r="I83" s="11">
        <f>I82+F83</f>
        <v/>
      </c>
    </row>
    <row r="84">
      <c r="A84" s="34" t="n">
        <v>42</v>
      </c>
      <c r="B84" s="34" t="inlineStr">
        <is>
          <t>May</t>
        </is>
      </c>
      <c r="C84" s="34" t="inlineStr">
        <is>
          <t>2029-05-30</t>
        </is>
      </c>
      <c r="D84" s="11">
        <f>G83</f>
        <v/>
      </c>
      <c r="E84" s="11">
        <f>MAX(0,D84*0.006958333333333333)</f>
        <v/>
      </c>
      <c r="F84" s="11">
        <f>MAX(0,MIN(D84,5089.58-E84))</f>
        <v/>
      </c>
      <c r="G84" s="11">
        <f>MAX(0,D84-F84)</f>
        <v/>
      </c>
      <c r="H84" s="11">
        <f>H83+E84</f>
        <v/>
      </c>
      <c r="I84" s="11">
        <f>I83+F84</f>
        <v/>
      </c>
    </row>
    <row r="85">
      <c r="A85" s="34" t="n">
        <v>43</v>
      </c>
      <c r="B85" s="34" t="inlineStr">
        <is>
          <t>Jun</t>
        </is>
      </c>
      <c r="C85" s="34" t="inlineStr">
        <is>
          <t>2029-06-30</t>
        </is>
      </c>
      <c r="D85" s="11">
        <f>G84</f>
        <v/>
      </c>
      <c r="E85" s="11">
        <f>MAX(0,D85*0.006958333333333333)</f>
        <v/>
      </c>
      <c r="F85" s="11">
        <f>MAX(0,MIN(D85,5089.58-E85))</f>
        <v/>
      </c>
      <c r="G85" s="11">
        <f>MAX(0,D85-F85)</f>
        <v/>
      </c>
      <c r="H85" s="11">
        <f>H84+E85</f>
        <v/>
      </c>
      <c r="I85" s="11">
        <f>I84+F85</f>
        <v/>
      </c>
    </row>
    <row r="86">
      <c r="A86" s="34" t="n">
        <v>44</v>
      </c>
      <c r="B86" s="34" t="inlineStr">
        <is>
          <t>Jul</t>
        </is>
      </c>
      <c r="C86" s="34" t="inlineStr">
        <is>
          <t>2029-07-30</t>
        </is>
      </c>
      <c r="D86" s="11">
        <f>G85</f>
        <v/>
      </c>
      <c r="E86" s="11">
        <f>MAX(0,D86*0.006958333333333333)</f>
        <v/>
      </c>
      <c r="F86" s="11">
        <f>MAX(0,MIN(D86,5089.58-E86))</f>
        <v/>
      </c>
      <c r="G86" s="11">
        <f>MAX(0,D86-F86)</f>
        <v/>
      </c>
      <c r="H86" s="11">
        <f>H85+E86</f>
        <v/>
      </c>
      <c r="I86" s="11">
        <f>I85+F86</f>
        <v/>
      </c>
    </row>
    <row r="87">
      <c r="A87" s="34" t="n">
        <v>45</v>
      </c>
      <c r="B87" s="34" t="inlineStr">
        <is>
          <t>Aug</t>
        </is>
      </c>
      <c r="C87" s="34" t="inlineStr">
        <is>
          <t>2029-08-30</t>
        </is>
      </c>
      <c r="D87" s="11">
        <f>G86</f>
        <v/>
      </c>
      <c r="E87" s="11">
        <f>MAX(0,D87*0.006958333333333333)</f>
        <v/>
      </c>
      <c r="F87" s="11">
        <f>MAX(0,MIN(D87,5089.58-E87))</f>
        <v/>
      </c>
      <c r="G87" s="11">
        <f>MAX(0,D87-F87)</f>
        <v/>
      </c>
      <c r="H87" s="11">
        <f>H86+E87</f>
        <v/>
      </c>
      <c r="I87" s="11">
        <f>I86+F87</f>
        <v/>
      </c>
    </row>
    <row r="88">
      <c r="A88" s="34" t="n">
        <v>46</v>
      </c>
      <c r="B88" s="34" t="inlineStr">
        <is>
          <t>Sep</t>
        </is>
      </c>
      <c r="C88" s="34" t="inlineStr">
        <is>
          <t>2029-09-30</t>
        </is>
      </c>
      <c r="D88" s="11">
        <f>G87</f>
        <v/>
      </c>
      <c r="E88" s="11">
        <f>MAX(0,D88*0.006958333333333333)</f>
        <v/>
      </c>
      <c r="F88" s="11">
        <f>MAX(0,MIN(D88,5089.58-E88))</f>
        <v/>
      </c>
      <c r="G88" s="11">
        <f>MAX(0,D88-F88)</f>
        <v/>
      </c>
      <c r="H88" s="11">
        <f>H87+E88</f>
        <v/>
      </c>
      <c r="I88" s="11">
        <f>I87+F88</f>
        <v/>
      </c>
    </row>
    <row r="89">
      <c r="A89" s="34" t="n">
        <v>47</v>
      </c>
      <c r="B89" s="34" t="inlineStr">
        <is>
          <t>Oct</t>
        </is>
      </c>
      <c r="C89" s="34" t="inlineStr">
        <is>
          <t>2029-10-30</t>
        </is>
      </c>
      <c r="D89" s="11">
        <f>G88</f>
        <v/>
      </c>
      <c r="E89" s="11">
        <f>MAX(0,D89*0.006958333333333333)</f>
        <v/>
      </c>
      <c r="F89" s="11">
        <f>MAX(0,MIN(D89,5089.58-E89))</f>
        <v/>
      </c>
      <c r="G89" s="11">
        <f>MAX(0,D89-F89)</f>
        <v/>
      </c>
      <c r="H89" s="11">
        <f>H88+E89</f>
        <v/>
      </c>
      <c r="I89" s="11">
        <f>I88+F89</f>
        <v/>
      </c>
    </row>
    <row r="90">
      <c r="A90" s="34" t="n">
        <v>48</v>
      </c>
      <c r="B90" s="34" t="inlineStr">
        <is>
          <t>Nov</t>
        </is>
      </c>
      <c r="C90" s="34" t="inlineStr">
        <is>
          <t>2029-11-30</t>
        </is>
      </c>
      <c r="D90" s="11">
        <f>G89</f>
        <v/>
      </c>
      <c r="E90" s="11">
        <f>MAX(0,D90*0.006958333333333333)</f>
        <v/>
      </c>
      <c r="F90" s="11">
        <f>MAX(0,MIN(D90,5089.58-E90))</f>
        <v/>
      </c>
      <c r="G90" s="11">
        <f>MAX(0,D90-F90)</f>
        <v/>
      </c>
      <c r="H90" s="11">
        <f>H89+E90</f>
        <v/>
      </c>
      <c r="I90" s="11">
        <f>I89+F90</f>
        <v/>
      </c>
    </row>
    <row r="91">
      <c r="A91" s="34" t="n">
        <v>49</v>
      </c>
      <c r="B91" s="34" t="inlineStr">
        <is>
          <t>Dec</t>
        </is>
      </c>
      <c r="C91" s="34" t="inlineStr">
        <is>
          <t>2029-12-30</t>
        </is>
      </c>
      <c r="D91" s="11">
        <f>G90</f>
        <v/>
      </c>
      <c r="E91" s="11">
        <f>MAX(0,D91*0.006958333333333333)</f>
        <v/>
      </c>
      <c r="F91" s="11">
        <f>MAX(0,MIN(D91,5089.58-E91))</f>
        <v/>
      </c>
      <c r="G91" s="11">
        <f>MAX(0,D91-F91)</f>
        <v/>
      </c>
      <c r="H91" s="11">
        <f>H90+E91</f>
        <v/>
      </c>
      <c r="I91" s="11">
        <f>I90+F91</f>
        <v/>
      </c>
    </row>
    <row r="92">
      <c r="A92" s="34" t="n">
        <v>50</v>
      </c>
      <c r="B92" s="34" t="inlineStr">
        <is>
          <t>Jan</t>
        </is>
      </c>
      <c r="C92" s="34" t="inlineStr">
        <is>
          <t>2030-01-30</t>
        </is>
      </c>
      <c r="D92" s="11">
        <f>G91</f>
        <v/>
      </c>
      <c r="E92" s="11">
        <f>MAX(0,D92*0.006958333333333333)</f>
        <v/>
      </c>
      <c r="F92" s="11">
        <f>MAX(0,MIN(D92,5089.58-E92))</f>
        <v/>
      </c>
      <c r="G92" s="11">
        <f>MAX(0,D92-F92)</f>
        <v/>
      </c>
      <c r="H92" s="11">
        <f>H91+E92</f>
        <v/>
      </c>
      <c r="I92" s="11">
        <f>I91+F92</f>
        <v/>
      </c>
    </row>
    <row r="93">
      <c r="A93" s="34" t="n">
        <v>51</v>
      </c>
      <c r="B93" s="34" t="inlineStr">
        <is>
          <t>Feb</t>
        </is>
      </c>
      <c r="C93" s="34" t="inlineStr">
        <is>
          <t>2030-02-28</t>
        </is>
      </c>
      <c r="D93" s="11">
        <f>G92</f>
        <v/>
      </c>
      <c r="E93" s="11">
        <f>MAX(0,D93*0.006958333333333333)</f>
        <v/>
      </c>
      <c r="F93" s="11">
        <f>MAX(0,MIN(D93,5089.58-E93))</f>
        <v/>
      </c>
      <c r="G93" s="11">
        <f>MAX(0,D93-F93)</f>
        <v/>
      </c>
      <c r="H93" s="11">
        <f>H92+E93</f>
        <v/>
      </c>
      <c r="I93" s="11">
        <f>I92+F93</f>
        <v/>
      </c>
    </row>
    <row r="94">
      <c r="A94" s="34" t="n">
        <v>52</v>
      </c>
      <c r="B94" s="34" t="inlineStr">
        <is>
          <t>Mar</t>
        </is>
      </c>
      <c r="C94" s="34" t="inlineStr">
        <is>
          <t>2030-03-30</t>
        </is>
      </c>
      <c r="D94" s="11">
        <f>G93</f>
        <v/>
      </c>
      <c r="E94" s="11">
        <f>MAX(0,D94*0.006958333333333333)</f>
        <v/>
      </c>
      <c r="F94" s="11">
        <f>MAX(0,MIN(D94,5089.58-E94))</f>
        <v/>
      </c>
      <c r="G94" s="11">
        <f>MAX(0,D94-F94)</f>
        <v/>
      </c>
      <c r="H94" s="11">
        <f>H93+E94</f>
        <v/>
      </c>
      <c r="I94" s="11">
        <f>I93+F94</f>
        <v/>
      </c>
    </row>
    <row r="95">
      <c r="A95" s="34" t="n">
        <v>53</v>
      </c>
      <c r="B95" s="34" t="inlineStr">
        <is>
          <t>Apr</t>
        </is>
      </c>
      <c r="C95" s="34" t="inlineStr">
        <is>
          <t>2030-04-30</t>
        </is>
      </c>
      <c r="D95" s="11">
        <f>G94</f>
        <v/>
      </c>
      <c r="E95" s="11">
        <f>MAX(0,D95*0.006958333333333333)</f>
        <v/>
      </c>
      <c r="F95" s="11">
        <f>MAX(0,MIN(D95,5089.58-E95))</f>
        <v/>
      </c>
      <c r="G95" s="11">
        <f>MAX(0,D95-F95)</f>
        <v/>
      </c>
      <c r="H95" s="11">
        <f>H94+E95</f>
        <v/>
      </c>
      <c r="I95" s="11">
        <f>I94+F95</f>
        <v/>
      </c>
    </row>
    <row r="96">
      <c r="A96" s="34" t="n">
        <v>54</v>
      </c>
      <c r="B96" s="34" t="inlineStr">
        <is>
          <t>May</t>
        </is>
      </c>
      <c r="C96" s="34" t="inlineStr">
        <is>
          <t>2030-05-30</t>
        </is>
      </c>
      <c r="D96" s="11">
        <f>G95</f>
        <v/>
      </c>
      <c r="E96" s="11">
        <f>MAX(0,D96*0.006958333333333333)</f>
        <v/>
      </c>
      <c r="F96" s="11">
        <f>MAX(0,MIN(D96,5089.58-E96))</f>
        <v/>
      </c>
      <c r="G96" s="11">
        <f>MAX(0,D96-F96)</f>
        <v/>
      </c>
      <c r="H96" s="11">
        <f>H95+E96</f>
        <v/>
      </c>
      <c r="I96" s="11">
        <f>I95+F96</f>
        <v/>
      </c>
    </row>
    <row r="97">
      <c r="A97" s="34" t="n">
        <v>55</v>
      </c>
      <c r="B97" s="34" t="inlineStr">
        <is>
          <t>Jun</t>
        </is>
      </c>
      <c r="C97" s="34" t="inlineStr">
        <is>
          <t>2030-06-30</t>
        </is>
      </c>
      <c r="D97" s="11">
        <f>G96</f>
        <v/>
      </c>
      <c r="E97" s="11">
        <f>MAX(0,D97*0.006958333333333333)</f>
        <v/>
      </c>
      <c r="F97" s="11">
        <f>MAX(0,MIN(D97,5089.58-E97))</f>
        <v/>
      </c>
      <c r="G97" s="11">
        <f>MAX(0,D97-F97)</f>
        <v/>
      </c>
      <c r="H97" s="11">
        <f>H96+E97</f>
        <v/>
      </c>
      <c r="I97" s="11">
        <f>I96+F97</f>
        <v/>
      </c>
    </row>
    <row r="98">
      <c r="A98" s="34" t="n">
        <v>56</v>
      </c>
      <c r="B98" s="34" t="inlineStr">
        <is>
          <t>Jul</t>
        </is>
      </c>
      <c r="C98" s="34" t="inlineStr">
        <is>
          <t>2030-07-30</t>
        </is>
      </c>
      <c r="D98" s="11">
        <f>G97</f>
        <v/>
      </c>
      <c r="E98" s="11">
        <f>MAX(0,D98*0.006958333333333333)</f>
        <v/>
      </c>
      <c r="F98" s="11">
        <f>MAX(0,MIN(D98,5089.58-E98))</f>
        <v/>
      </c>
      <c r="G98" s="11">
        <f>MAX(0,D98-F98)</f>
        <v/>
      </c>
      <c r="H98" s="11">
        <f>H97+E98</f>
        <v/>
      </c>
      <c r="I98" s="11">
        <f>I97+F98</f>
        <v/>
      </c>
    </row>
    <row r="99">
      <c r="A99" s="73" t="n"/>
      <c r="B99" s="74" t="inlineStr">
        <is>
          <t>TOTAL</t>
        </is>
      </c>
      <c r="C99" s="73" t="n"/>
      <c r="D99" s="73" t="n"/>
      <c r="E99" s="77">
        <f>SUM(E43:E98)</f>
        <v/>
      </c>
      <c r="F99" s="77">
        <f>SUM(F43:F98)</f>
        <v/>
      </c>
      <c r="G99" s="73" t="n"/>
      <c r="H99" s="73" t="n"/>
      <c r="I99" s="73" t="n"/>
    </row>
    <row r="102">
      <c r="A102" s="39" t="inlineStr">
        <is>
          <t>LOAN 2: ASCENTIUM CAPITAL</t>
        </is>
      </c>
    </row>
    <row r="103">
      <c r="B103" s="20" t="inlineStr">
        <is>
          <t>Loan ID</t>
        </is>
      </c>
      <c r="C103" t="inlineStr">
        <is>
          <t>01-2987-000-000-00</t>
        </is>
      </c>
    </row>
    <row r="104">
      <c r="B104" s="20" t="inlineStr">
        <is>
          <t>Account #</t>
        </is>
      </c>
      <c r="C104" t="inlineStr">
        <is>
          <t>2844489</t>
        </is>
      </c>
    </row>
    <row r="105">
      <c r="B105" s="20" t="inlineStr">
        <is>
          <t>Description</t>
        </is>
      </c>
      <c r="C105" t="inlineStr">
        <is>
          <t>5 Trailers Texas 489 (July 2025)</t>
        </is>
      </c>
    </row>
    <row r="106">
      <c r="B106" s="20" t="inlineStr">
        <is>
          <t>Origination Date</t>
        </is>
      </c>
      <c r="C106" t="inlineStr">
        <is>
          <t>2025-07-01</t>
        </is>
      </c>
    </row>
    <row r="107">
      <c r="B107" s="20" t="inlineStr">
        <is>
          <t>Maturity Date</t>
        </is>
      </c>
      <c r="C107" t="inlineStr">
        <is>
          <t>2030-06-15</t>
        </is>
      </c>
    </row>
    <row r="108">
      <c r="B108" s="20" t="inlineStr">
        <is>
          <t>Opening Balance</t>
        </is>
      </c>
      <c r="C108" s="3" t="n">
        <v>272500</v>
      </c>
    </row>
    <row r="109">
      <c r="B109" s="20" t="inlineStr">
        <is>
          <t>Remaining Balance (Nov 2025)</t>
        </is>
      </c>
      <c r="C109" s="3" t="n">
        <v>231611</v>
      </c>
    </row>
    <row r="110">
      <c r="B110" s="20" t="inlineStr">
        <is>
          <t>Annual Interest Rate</t>
        </is>
      </c>
      <c r="C110" t="inlineStr">
        <is>
          <t>8.37%</t>
        </is>
      </c>
    </row>
    <row r="111">
      <c r="B111" s="20" t="inlineStr">
        <is>
          <t>Monthly Payment</t>
        </is>
      </c>
      <c r="C111" s="3" t="n">
        <v>5084.7</v>
      </c>
    </row>
    <row r="112">
      <c r="B112" s="20" t="inlineStr">
        <is>
          <t>Loan Type</t>
        </is>
      </c>
      <c r="C112" t="inlineStr">
        <is>
          <t>AMORTIZING</t>
        </is>
      </c>
    </row>
    <row r="113">
      <c r="B113" s="20" t="inlineStr">
        <is>
          <t>Use</t>
        </is>
      </c>
      <c r="C113" t="inlineStr">
        <is>
          <t>Equipment (Trailers)</t>
        </is>
      </c>
    </row>
    <row r="114">
      <c r="B114" s="20" t="inlineStr">
        <is>
          <t>Source</t>
        </is>
      </c>
      <c r="C114" t="inlineStr">
        <is>
          <t>Meiborg_Debt_Schedule_202511.xlsx</t>
        </is>
      </c>
    </row>
    <row r="116">
      <c r="A116" s="76" t="inlineStr">
        <is>
          <t>AMORTIZATION SCHEDULE</t>
        </is>
      </c>
    </row>
    <row r="117">
      <c r="A117" s="71" t="inlineStr">
        <is>
          <t>#</t>
        </is>
      </c>
      <c r="B117" s="71" t="inlineStr">
        <is>
          <t>Month</t>
        </is>
      </c>
      <c r="C117" s="71" t="inlineStr">
        <is>
          <t>Date</t>
        </is>
      </c>
      <c r="D117" s="71" t="inlineStr">
        <is>
          <t>Opening</t>
        </is>
      </c>
      <c r="E117" s="71" t="inlineStr">
        <is>
          <t>Interest</t>
        </is>
      </c>
      <c r="F117" s="71" t="inlineStr">
        <is>
          <t>Principal</t>
        </is>
      </c>
      <c r="G117" s="71" t="inlineStr">
        <is>
          <t>Closing</t>
        </is>
      </c>
      <c r="H117" s="71" t="inlineStr">
        <is>
          <t>Cum Int</t>
        </is>
      </c>
      <c r="I117" s="71" t="inlineStr">
        <is>
          <t>Cum Prin</t>
        </is>
      </c>
    </row>
    <row r="118">
      <c r="A118" s="34" t="n">
        <v>1</v>
      </c>
      <c r="B118" s="34" t="inlineStr">
        <is>
          <t>Dec</t>
        </is>
      </c>
      <c r="C118" s="34" t="inlineStr">
        <is>
          <t>2025-12-30</t>
        </is>
      </c>
      <c r="D118" s="11" t="n">
        <v>231611</v>
      </c>
      <c r="E118" s="11">
        <f>MAX(0,D118*0.006974999999999999)</f>
        <v/>
      </c>
      <c r="F118" s="11">
        <f>MAX(0,MIN(D118,5084.7-E118))</f>
        <v/>
      </c>
      <c r="G118" s="11">
        <f>MAX(0,D118-F118)</f>
        <v/>
      </c>
      <c r="H118" s="11">
        <f>E118</f>
        <v/>
      </c>
      <c r="I118" s="11">
        <f>F118</f>
        <v/>
      </c>
    </row>
    <row r="119">
      <c r="A119" s="34" t="n">
        <v>2</v>
      </c>
      <c r="B119" s="34" t="inlineStr">
        <is>
          <t>Jan</t>
        </is>
      </c>
      <c r="C119" s="34" t="inlineStr">
        <is>
          <t>2026-01-30</t>
        </is>
      </c>
      <c r="D119" s="11">
        <f>G118</f>
        <v/>
      </c>
      <c r="E119" s="11">
        <f>MAX(0,D119*0.006974999999999999)</f>
        <v/>
      </c>
      <c r="F119" s="11">
        <f>MAX(0,MIN(D119,5084.7-E119))</f>
        <v/>
      </c>
      <c r="G119" s="11">
        <f>MAX(0,D119-F119)</f>
        <v/>
      </c>
      <c r="H119" s="11">
        <f>H118+E119</f>
        <v/>
      </c>
      <c r="I119" s="11">
        <f>I118+F119</f>
        <v/>
      </c>
    </row>
    <row r="120">
      <c r="A120" s="34" t="n">
        <v>3</v>
      </c>
      <c r="B120" s="34" t="inlineStr">
        <is>
          <t>Feb</t>
        </is>
      </c>
      <c r="C120" s="34" t="inlineStr">
        <is>
          <t>2026-02-28</t>
        </is>
      </c>
      <c r="D120" s="11">
        <f>G119</f>
        <v/>
      </c>
      <c r="E120" s="11">
        <f>MAX(0,D120*0.006974999999999999)</f>
        <v/>
      </c>
      <c r="F120" s="11">
        <f>MAX(0,MIN(D120,5084.7-E120))</f>
        <v/>
      </c>
      <c r="G120" s="11">
        <f>MAX(0,D120-F120)</f>
        <v/>
      </c>
      <c r="H120" s="11">
        <f>H119+E120</f>
        <v/>
      </c>
      <c r="I120" s="11">
        <f>I119+F120</f>
        <v/>
      </c>
    </row>
    <row r="121">
      <c r="A121" s="34" t="n">
        <v>4</v>
      </c>
      <c r="B121" s="34" t="inlineStr">
        <is>
          <t>Mar</t>
        </is>
      </c>
      <c r="C121" s="34" t="inlineStr">
        <is>
          <t>2026-03-30</t>
        </is>
      </c>
      <c r="D121" s="11">
        <f>G120</f>
        <v/>
      </c>
      <c r="E121" s="11">
        <f>MAX(0,D121*0.006974999999999999)</f>
        <v/>
      </c>
      <c r="F121" s="11">
        <f>MAX(0,MIN(D121,5084.7-E121))</f>
        <v/>
      </c>
      <c r="G121" s="11">
        <f>MAX(0,D121-F121)</f>
        <v/>
      </c>
      <c r="H121" s="11">
        <f>H120+E121</f>
        <v/>
      </c>
      <c r="I121" s="11">
        <f>I120+F121</f>
        <v/>
      </c>
    </row>
    <row r="122">
      <c r="A122" s="34" t="n">
        <v>5</v>
      </c>
      <c r="B122" s="34" t="inlineStr">
        <is>
          <t>Apr</t>
        </is>
      </c>
      <c r="C122" s="34" t="inlineStr">
        <is>
          <t>2026-04-30</t>
        </is>
      </c>
      <c r="D122" s="11">
        <f>G121</f>
        <v/>
      </c>
      <c r="E122" s="11">
        <f>MAX(0,D122*0.006974999999999999)</f>
        <v/>
      </c>
      <c r="F122" s="11">
        <f>MAX(0,MIN(D122,5084.7-E122))</f>
        <v/>
      </c>
      <c r="G122" s="11">
        <f>MAX(0,D122-F122)</f>
        <v/>
      </c>
      <c r="H122" s="11">
        <f>H121+E122</f>
        <v/>
      </c>
      <c r="I122" s="11">
        <f>I121+F122</f>
        <v/>
      </c>
    </row>
    <row r="123">
      <c r="A123" s="34" t="n">
        <v>6</v>
      </c>
      <c r="B123" s="34" t="inlineStr">
        <is>
          <t>May</t>
        </is>
      </c>
      <c r="C123" s="34" t="inlineStr">
        <is>
          <t>2026-05-30</t>
        </is>
      </c>
      <c r="D123" s="11">
        <f>G122</f>
        <v/>
      </c>
      <c r="E123" s="11">
        <f>MAX(0,D123*0.006974999999999999)</f>
        <v/>
      </c>
      <c r="F123" s="11">
        <f>MAX(0,MIN(D123,5084.7-E123))</f>
        <v/>
      </c>
      <c r="G123" s="11">
        <f>MAX(0,D123-F123)</f>
        <v/>
      </c>
      <c r="H123" s="11">
        <f>H122+E123</f>
        <v/>
      </c>
      <c r="I123" s="11">
        <f>I122+F123</f>
        <v/>
      </c>
    </row>
    <row r="124">
      <c r="A124" s="34" t="n">
        <v>7</v>
      </c>
      <c r="B124" s="34" t="inlineStr">
        <is>
          <t>Jun</t>
        </is>
      </c>
      <c r="C124" s="34" t="inlineStr">
        <is>
          <t>2026-06-30</t>
        </is>
      </c>
      <c r="D124" s="11">
        <f>G123</f>
        <v/>
      </c>
      <c r="E124" s="11">
        <f>MAX(0,D124*0.006974999999999999)</f>
        <v/>
      </c>
      <c r="F124" s="11">
        <f>MAX(0,MIN(D124,5084.7-E124))</f>
        <v/>
      </c>
      <c r="G124" s="11">
        <f>MAX(0,D124-F124)</f>
        <v/>
      </c>
      <c r="H124" s="11">
        <f>H123+E124</f>
        <v/>
      </c>
      <c r="I124" s="11">
        <f>I123+F124</f>
        <v/>
      </c>
    </row>
    <row r="125">
      <c r="A125" s="34" t="n">
        <v>8</v>
      </c>
      <c r="B125" s="34" t="inlineStr">
        <is>
          <t>Jul</t>
        </is>
      </c>
      <c r="C125" s="34" t="inlineStr">
        <is>
          <t>2026-07-30</t>
        </is>
      </c>
      <c r="D125" s="11">
        <f>G124</f>
        <v/>
      </c>
      <c r="E125" s="11">
        <f>MAX(0,D125*0.006974999999999999)</f>
        <v/>
      </c>
      <c r="F125" s="11">
        <f>MAX(0,MIN(D125,5084.7-E125))</f>
        <v/>
      </c>
      <c r="G125" s="11">
        <f>MAX(0,D125-F125)</f>
        <v/>
      </c>
      <c r="H125" s="11">
        <f>H124+E125</f>
        <v/>
      </c>
      <c r="I125" s="11">
        <f>I124+F125</f>
        <v/>
      </c>
    </row>
    <row r="126">
      <c r="A126" s="34" t="n">
        <v>9</v>
      </c>
      <c r="B126" s="34" t="inlineStr">
        <is>
          <t>Aug</t>
        </is>
      </c>
      <c r="C126" s="34" t="inlineStr">
        <is>
          <t>2026-08-30</t>
        </is>
      </c>
      <c r="D126" s="11">
        <f>G125</f>
        <v/>
      </c>
      <c r="E126" s="11">
        <f>MAX(0,D126*0.006974999999999999)</f>
        <v/>
      </c>
      <c r="F126" s="11">
        <f>MAX(0,MIN(D126,5084.7-E126))</f>
        <v/>
      </c>
      <c r="G126" s="11">
        <f>MAX(0,D126-F126)</f>
        <v/>
      </c>
      <c r="H126" s="11">
        <f>H125+E126</f>
        <v/>
      </c>
      <c r="I126" s="11">
        <f>I125+F126</f>
        <v/>
      </c>
    </row>
    <row r="127">
      <c r="A127" s="34" t="n">
        <v>10</v>
      </c>
      <c r="B127" s="34" t="inlineStr">
        <is>
          <t>Sep</t>
        </is>
      </c>
      <c r="C127" s="34" t="inlineStr">
        <is>
          <t>2026-09-30</t>
        </is>
      </c>
      <c r="D127" s="11">
        <f>G126</f>
        <v/>
      </c>
      <c r="E127" s="11">
        <f>MAX(0,D127*0.006974999999999999)</f>
        <v/>
      </c>
      <c r="F127" s="11">
        <f>MAX(0,MIN(D127,5084.7-E127))</f>
        <v/>
      </c>
      <c r="G127" s="11">
        <f>MAX(0,D127-F127)</f>
        <v/>
      </c>
      <c r="H127" s="11">
        <f>H126+E127</f>
        <v/>
      </c>
      <c r="I127" s="11">
        <f>I126+F127</f>
        <v/>
      </c>
    </row>
    <row r="128">
      <c r="A128" s="34" t="n">
        <v>11</v>
      </c>
      <c r="B128" s="34" t="inlineStr">
        <is>
          <t>Oct</t>
        </is>
      </c>
      <c r="C128" s="34" t="inlineStr">
        <is>
          <t>2026-10-30</t>
        </is>
      </c>
      <c r="D128" s="11">
        <f>G127</f>
        <v/>
      </c>
      <c r="E128" s="11">
        <f>MAX(0,D128*0.006974999999999999)</f>
        <v/>
      </c>
      <c r="F128" s="11">
        <f>MAX(0,MIN(D128,5084.7-E128))</f>
        <v/>
      </c>
      <c r="G128" s="11">
        <f>MAX(0,D128-F128)</f>
        <v/>
      </c>
      <c r="H128" s="11">
        <f>H127+E128</f>
        <v/>
      </c>
      <c r="I128" s="11">
        <f>I127+F128</f>
        <v/>
      </c>
    </row>
    <row r="129">
      <c r="A129" s="34" t="n">
        <v>12</v>
      </c>
      <c r="B129" s="34" t="inlineStr">
        <is>
          <t>Nov</t>
        </is>
      </c>
      <c r="C129" s="34" t="inlineStr">
        <is>
          <t>2026-11-30</t>
        </is>
      </c>
      <c r="D129" s="11">
        <f>G128</f>
        <v/>
      </c>
      <c r="E129" s="11">
        <f>MAX(0,D129*0.006974999999999999)</f>
        <v/>
      </c>
      <c r="F129" s="11">
        <f>MAX(0,MIN(D129,5084.7-E129))</f>
        <v/>
      </c>
      <c r="G129" s="11">
        <f>MAX(0,D129-F129)</f>
        <v/>
      </c>
      <c r="H129" s="11">
        <f>H128+E129</f>
        <v/>
      </c>
      <c r="I129" s="11">
        <f>I128+F129</f>
        <v/>
      </c>
    </row>
    <row r="130">
      <c r="A130" s="34" t="n">
        <v>13</v>
      </c>
      <c r="B130" s="34" t="inlineStr">
        <is>
          <t>Dec</t>
        </is>
      </c>
      <c r="C130" s="34" t="inlineStr">
        <is>
          <t>2026-12-30</t>
        </is>
      </c>
      <c r="D130" s="11">
        <f>G129</f>
        <v/>
      </c>
      <c r="E130" s="11">
        <f>MAX(0,D130*0.006974999999999999)</f>
        <v/>
      </c>
      <c r="F130" s="11">
        <f>MAX(0,MIN(D130,5084.7-E130))</f>
        <v/>
      </c>
      <c r="G130" s="11">
        <f>MAX(0,D130-F130)</f>
        <v/>
      </c>
      <c r="H130" s="11">
        <f>H129+E130</f>
        <v/>
      </c>
      <c r="I130" s="11">
        <f>I129+F130</f>
        <v/>
      </c>
    </row>
    <row r="131">
      <c r="A131" s="34" t="n">
        <v>14</v>
      </c>
      <c r="B131" s="34" t="inlineStr">
        <is>
          <t>Jan</t>
        </is>
      </c>
      <c r="C131" s="34" t="inlineStr">
        <is>
          <t>2027-01-30</t>
        </is>
      </c>
      <c r="D131" s="11">
        <f>G130</f>
        <v/>
      </c>
      <c r="E131" s="11">
        <f>MAX(0,D131*0.006974999999999999)</f>
        <v/>
      </c>
      <c r="F131" s="11">
        <f>MAX(0,MIN(D131,5084.7-E131))</f>
        <v/>
      </c>
      <c r="G131" s="11">
        <f>MAX(0,D131-F131)</f>
        <v/>
      </c>
      <c r="H131" s="11">
        <f>H130+E131</f>
        <v/>
      </c>
      <c r="I131" s="11">
        <f>I130+F131</f>
        <v/>
      </c>
    </row>
    <row r="132">
      <c r="A132" s="34" t="n">
        <v>15</v>
      </c>
      <c r="B132" s="34" t="inlineStr">
        <is>
          <t>Feb</t>
        </is>
      </c>
      <c r="C132" s="34" t="inlineStr">
        <is>
          <t>2027-02-28</t>
        </is>
      </c>
      <c r="D132" s="11">
        <f>G131</f>
        <v/>
      </c>
      <c r="E132" s="11">
        <f>MAX(0,D132*0.006974999999999999)</f>
        <v/>
      </c>
      <c r="F132" s="11">
        <f>MAX(0,MIN(D132,5084.7-E132))</f>
        <v/>
      </c>
      <c r="G132" s="11">
        <f>MAX(0,D132-F132)</f>
        <v/>
      </c>
      <c r="H132" s="11">
        <f>H131+E132</f>
        <v/>
      </c>
      <c r="I132" s="11">
        <f>I131+F132</f>
        <v/>
      </c>
    </row>
    <row r="133">
      <c r="A133" s="34" t="n">
        <v>16</v>
      </c>
      <c r="B133" s="34" t="inlineStr">
        <is>
          <t>Mar</t>
        </is>
      </c>
      <c r="C133" s="34" t="inlineStr">
        <is>
          <t>2027-03-30</t>
        </is>
      </c>
      <c r="D133" s="11">
        <f>G132</f>
        <v/>
      </c>
      <c r="E133" s="11">
        <f>MAX(0,D133*0.006974999999999999)</f>
        <v/>
      </c>
      <c r="F133" s="11">
        <f>MAX(0,MIN(D133,5084.7-E133))</f>
        <v/>
      </c>
      <c r="G133" s="11">
        <f>MAX(0,D133-F133)</f>
        <v/>
      </c>
      <c r="H133" s="11">
        <f>H132+E133</f>
        <v/>
      </c>
      <c r="I133" s="11">
        <f>I132+F133</f>
        <v/>
      </c>
    </row>
    <row r="134">
      <c r="A134" s="34" t="n">
        <v>17</v>
      </c>
      <c r="B134" s="34" t="inlineStr">
        <is>
          <t>Apr</t>
        </is>
      </c>
      <c r="C134" s="34" t="inlineStr">
        <is>
          <t>2027-04-30</t>
        </is>
      </c>
      <c r="D134" s="11">
        <f>G133</f>
        <v/>
      </c>
      <c r="E134" s="11">
        <f>MAX(0,D134*0.006974999999999999)</f>
        <v/>
      </c>
      <c r="F134" s="11">
        <f>MAX(0,MIN(D134,5084.7-E134))</f>
        <v/>
      </c>
      <c r="G134" s="11">
        <f>MAX(0,D134-F134)</f>
        <v/>
      </c>
      <c r="H134" s="11">
        <f>H133+E134</f>
        <v/>
      </c>
      <c r="I134" s="11">
        <f>I133+F134</f>
        <v/>
      </c>
    </row>
    <row r="135">
      <c r="A135" s="34" t="n">
        <v>18</v>
      </c>
      <c r="B135" s="34" t="inlineStr">
        <is>
          <t>May</t>
        </is>
      </c>
      <c r="C135" s="34" t="inlineStr">
        <is>
          <t>2027-05-30</t>
        </is>
      </c>
      <c r="D135" s="11">
        <f>G134</f>
        <v/>
      </c>
      <c r="E135" s="11">
        <f>MAX(0,D135*0.006974999999999999)</f>
        <v/>
      </c>
      <c r="F135" s="11">
        <f>MAX(0,MIN(D135,5084.7-E135))</f>
        <v/>
      </c>
      <c r="G135" s="11">
        <f>MAX(0,D135-F135)</f>
        <v/>
      </c>
      <c r="H135" s="11">
        <f>H134+E135</f>
        <v/>
      </c>
      <c r="I135" s="11">
        <f>I134+F135</f>
        <v/>
      </c>
    </row>
    <row r="136">
      <c r="A136" s="34" t="n">
        <v>19</v>
      </c>
      <c r="B136" s="34" t="inlineStr">
        <is>
          <t>Jun</t>
        </is>
      </c>
      <c r="C136" s="34" t="inlineStr">
        <is>
          <t>2027-06-30</t>
        </is>
      </c>
      <c r="D136" s="11">
        <f>G135</f>
        <v/>
      </c>
      <c r="E136" s="11">
        <f>MAX(0,D136*0.006974999999999999)</f>
        <v/>
      </c>
      <c r="F136" s="11">
        <f>MAX(0,MIN(D136,5084.7-E136))</f>
        <v/>
      </c>
      <c r="G136" s="11">
        <f>MAX(0,D136-F136)</f>
        <v/>
      </c>
      <c r="H136" s="11">
        <f>H135+E136</f>
        <v/>
      </c>
      <c r="I136" s="11">
        <f>I135+F136</f>
        <v/>
      </c>
    </row>
    <row r="137">
      <c r="A137" s="34" t="n">
        <v>20</v>
      </c>
      <c r="B137" s="34" t="inlineStr">
        <is>
          <t>Jul</t>
        </is>
      </c>
      <c r="C137" s="34" t="inlineStr">
        <is>
          <t>2027-07-30</t>
        </is>
      </c>
      <c r="D137" s="11">
        <f>G136</f>
        <v/>
      </c>
      <c r="E137" s="11">
        <f>MAX(0,D137*0.006974999999999999)</f>
        <v/>
      </c>
      <c r="F137" s="11">
        <f>MAX(0,MIN(D137,5084.7-E137))</f>
        <v/>
      </c>
      <c r="G137" s="11">
        <f>MAX(0,D137-F137)</f>
        <v/>
      </c>
      <c r="H137" s="11">
        <f>H136+E137</f>
        <v/>
      </c>
      <c r="I137" s="11">
        <f>I136+F137</f>
        <v/>
      </c>
    </row>
    <row r="138">
      <c r="A138" s="34" t="n">
        <v>21</v>
      </c>
      <c r="B138" s="34" t="inlineStr">
        <is>
          <t>Aug</t>
        </is>
      </c>
      <c r="C138" s="34" t="inlineStr">
        <is>
          <t>2027-08-30</t>
        </is>
      </c>
      <c r="D138" s="11">
        <f>G137</f>
        <v/>
      </c>
      <c r="E138" s="11">
        <f>MAX(0,D138*0.006974999999999999)</f>
        <v/>
      </c>
      <c r="F138" s="11">
        <f>MAX(0,MIN(D138,5084.7-E138))</f>
        <v/>
      </c>
      <c r="G138" s="11">
        <f>MAX(0,D138-F138)</f>
        <v/>
      </c>
      <c r="H138" s="11">
        <f>H137+E138</f>
        <v/>
      </c>
      <c r="I138" s="11">
        <f>I137+F138</f>
        <v/>
      </c>
    </row>
    <row r="139">
      <c r="A139" s="34" t="n">
        <v>22</v>
      </c>
      <c r="B139" s="34" t="inlineStr">
        <is>
          <t>Sep</t>
        </is>
      </c>
      <c r="C139" s="34" t="inlineStr">
        <is>
          <t>2027-09-30</t>
        </is>
      </c>
      <c r="D139" s="11">
        <f>G138</f>
        <v/>
      </c>
      <c r="E139" s="11">
        <f>MAX(0,D139*0.006974999999999999)</f>
        <v/>
      </c>
      <c r="F139" s="11">
        <f>MAX(0,MIN(D139,5084.7-E139))</f>
        <v/>
      </c>
      <c r="G139" s="11">
        <f>MAX(0,D139-F139)</f>
        <v/>
      </c>
      <c r="H139" s="11">
        <f>H138+E139</f>
        <v/>
      </c>
      <c r="I139" s="11">
        <f>I138+F139</f>
        <v/>
      </c>
    </row>
    <row r="140">
      <c r="A140" s="34" t="n">
        <v>23</v>
      </c>
      <c r="B140" s="34" t="inlineStr">
        <is>
          <t>Oct</t>
        </is>
      </c>
      <c r="C140" s="34" t="inlineStr">
        <is>
          <t>2027-10-30</t>
        </is>
      </c>
      <c r="D140" s="11">
        <f>G139</f>
        <v/>
      </c>
      <c r="E140" s="11">
        <f>MAX(0,D140*0.006974999999999999)</f>
        <v/>
      </c>
      <c r="F140" s="11">
        <f>MAX(0,MIN(D140,5084.7-E140))</f>
        <v/>
      </c>
      <c r="G140" s="11">
        <f>MAX(0,D140-F140)</f>
        <v/>
      </c>
      <c r="H140" s="11">
        <f>H139+E140</f>
        <v/>
      </c>
      <c r="I140" s="11">
        <f>I139+F140</f>
        <v/>
      </c>
    </row>
    <row r="141">
      <c r="A141" s="34" t="n">
        <v>24</v>
      </c>
      <c r="B141" s="34" t="inlineStr">
        <is>
          <t>Nov</t>
        </is>
      </c>
      <c r="C141" s="34" t="inlineStr">
        <is>
          <t>2027-11-30</t>
        </is>
      </c>
      <c r="D141" s="11">
        <f>G140</f>
        <v/>
      </c>
      <c r="E141" s="11">
        <f>MAX(0,D141*0.006974999999999999)</f>
        <v/>
      </c>
      <c r="F141" s="11">
        <f>MAX(0,MIN(D141,5084.7-E141))</f>
        <v/>
      </c>
      <c r="G141" s="11">
        <f>MAX(0,D141-F141)</f>
        <v/>
      </c>
      <c r="H141" s="11">
        <f>H140+E141</f>
        <v/>
      </c>
      <c r="I141" s="11">
        <f>I140+F141</f>
        <v/>
      </c>
    </row>
    <row r="142">
      <c r="A142" s="34" t="n">
        <v>25</v>
      </c>
      <c r="B142" s="34" t="inlineStr">
        <is>
          <t>Dec</t>
        </is>
      </c>
      <c r="C142" s="34" t="inlineStr">
        <is>
          <t>2027-12-30</t>
        </is>
      </c>
      <c r="D142" s="11">
        <f>G141</f>
        <v/>
      </c>
      <c r="E142" s="11">
        <f>MAX(0,D142*0.006974999999999999)</f>
        <v/>
      </c>
      <c r="F142" s="11">
        <f>MAX(0,MIN(D142,5084.7-E142))</f>
        <v/>
      </c>
      <c r="G142" s="11">
        <f>MAX(0,D142-F142)</f>
        <v/>
      </c>
      <c r="H142" s="11">
        <f>H141+E142</f>
        <v/>
      </c>
      <c r="I142" s="11">
        <f>I141+F142</f>
        <v/>
      </c>
    </row>
    <row r="143">
      <c r="A143" s="34" t="n">
        <v>26</v>
      </c>
      <c r="B143" s="34" t="inlineStr">
        <is>
          <t>Jan</t>
        </is>
      </c>
      <c r="C143" s="34" t="inlineStr">
        <is>
          <t>2028-01-30</t>
        </is>
      </c>
      <c r="D143" s="11">
        <f>G142</f>
        <v/>
      </c>
      <c r="E143" s="11">
        <f>MAX(0,D143*0.006974999999999999)</f>
        <v/>
      </c>
      <c r="F143" s="11">
        <f>MAX(0,MIN(D143,5084.7-E143))</f>
        <v/>
      </c>
      <c r="G143" s="11">
        <f>MAX(0,D143-F143)</f>
        <v/>
      </c>
      <c r="H143" s="11">
        <f>H142+E143</f>
        <v/>
      </c>
      <c r="I143" s="11">
        <f>I142+F143</f>
        <v/>
      </c>
    </row>
    <row r="144">
      <c r="A144" s="34" t="n">
        <v>27</v>
      </c>
      <c r="B144" s="34" t="inlineStr">
        <is>
          <t>Feb</t>
        </is>
      </c>
      <c r="C144" s="34" t="inlineStr">
        <is>
          <t>2028-02-29</t>
        </is>
      </c>
      <c r="D144" s="11">
        <f>G143</f>
        <v/>
      </c>
      <c r="E144" s="11">
        <f>MAX(0,D144*0.006974999999999999)</f>
        <v/>
      </c>
      <c r="F144" s="11">
        <f>MAX(0,MIN(D144,5084.7-E144))</f>
        <v/>
      </c>
      <c r="G144" s="11">
        <f>MAX(0,D144-F144)</f>
        <v/>
      </c>
      <c r="H144" s="11">
        <f>H143+E144</f>
        <v/>
      </c>
      <c r="I144" s="11">
        <f>I143+F144</f>
        <v/>
      </c>
    </row>
    <row r="145">
      <c r="A145" s="34" t="n">
        <v>28</v>
      </c>
      <c r="B145" s="34" t="inlineStr">
        <is>
          <t>Mar</t>
        </is>
      </c>
      <c r="C145" s="34" t="inlineStr">
        <is>
          <t>2028-03-30</t>
        </is>
      </c>
      <c r="D145" s="11">
        <f>G144</f>
        <v/>
      </c>
      <c r="E145" s="11">
        <f>MAX(0,D145*0.006974999999999999)</f>
        <v/>
      </c>
      <c r="F145" s="11">
        <f>MAX(0,MIN(D145,5084.7-E145))</f>
        <v/>
      </c>
      <c r="G145" s="11">
        <f>MAX(0,D145-F145)</f>
        <v/>
      </c>
      <c r="H145" s="11">
        <f>H144+E145</f>
        <v/>
      </c>
      <c r="I145" s="11">
        <f>I144+F145</f>
        <v/>
      </c>
    </row>
    <row r="146">
      <c r="A146" s="34" t="n">
        <v>29</v>
      </c>
      <c r="B146" s="34" t="inlineStr">
        <is>
          <t>Apr</t>
        </is>
      </c>
      <c r="C146" s="34" t="inlineStr">
        <is>
          <t>2028-04-30</t>
        </is>
      </c>
      <c r="D146" s="11">
        <f>G145</f>
        <v/>
      </c>
      <c r="E146" s="11">
        <f>MAX(0,D146*0.006974999999999999)</f>
        <v/>
      </c>
      <c r="F146" s="11">
        <f>MAX(0,MIN(D146,5084.7-E146))</f>
        <v/>
      </c>
      <c r="G146" s="11">
        <f>MAX(0,D146-F146)</f>
        <v/>
      </c>
      <c r="H146" s="11">
        <f>H145+E146</f>
        <v/>
      </c>
      <c r="I146" s="11">
        <f>I145+F146</f>
        <v/>
      </c>
    </row>
    <row r="147">
      <c r="A147" s="34" t="n">
        <v>30</v>
      </c>
      <c r="B147" s="34" t="inlineStr">
        <is>
          <t>May</t>
        </is>
      </c>
      <c r="C147" s="34" t="inlineStr">
        <is>
          <t>2028-05-30</t>
        </is>
      </c>
      <c r="D147" s="11">
        <f>G146</f>
        <v/>
      </c>
      <c r="E147" s="11">
        <f>MAX(0,D147*0.006974999999999999)</f>
        <v/>
      </c>
      <c r="F147" s="11">
        <f>MAX(0,MIN(D147,5084.7-E147))</f>
        <v/>
      </c>
      <c r="G147" s="11">
        <f>MAX(0,D147-F147)</f>
        <v/>
      </c>
      <c r="H147" s="11">
        <f>H146+E147</f>
        <v/>
      </c>
      <c r="I147" s="11">
        <f>I146+F147</f>
        <v/>
      </c>
    </row>
    <row r="148">
      <c r="A148" s="34" t="n">
        <v>31</v>
      </c>
      <c r="B148" s="34" t="inlineStr">
        <is>
          <t>Jun</t>
        </is>
      </c>
      <c r="C148" s="34" t="inlineStr">
        <is>
          <t>2028-06-30</t>
        </is>
      </c>
      <c r="D148" s="11">
        <f>G147</f>
        <v/>
      </c>
      <c r="E148" s="11">
        <f>MAX(0,D148*0.006974999999999999)</f>
        <v/>
      </c>
      <c r="F148" s="11">
        <f>MAX(0,MIN(D148,5084.7-E148))</f>
        <v/>
      </c>
      <c r="G148" s="11">
        <f>MAX(0,D148-F148)</f>
        <v/>
      </c>
      <c r="H148" s="11">
        <f>H147+E148</f>
        <v/>
      </c>
      <c r="I148" s="11">
        <f>I147+F148</f>
        <v/>
      </c>
    </row>
    <row r="149">
      <c r="A149" s="34" t="n">
        <v>32</v>
      </c>
      <c r="B149" s="34" t="inlineStr">
        <is>
          <t>Jul</t>
        </is>
      </c>
      <c r="C149" s="34" t="inlineStr">
        <is>
          <t>2028-07-30</t>
        </is>
      </c>
      <c r="D149" s="11">
        <f>G148</f>
        <v/>
      </c>
      <c r="E149" s="11">
        <f>MAX(0,D149*0.006974999999999999)</f>
        <v/>
      </c>
      <c r="F149" s="11">
        <f>MAX(0,MIN(D149,5084.7-E149))</f>
        <v/>
      </c>
      <c r="G149" s="11">
        <f>MAX(0,D149-F149)</f>
        <v/>
      </c>
      <c r="H149" s="11">
        <f>H148+E149</f>
        <v/>
      </c>
      <c r="I149" s="11">
        <f>I148+F149</f>
        <v/>
      </c>
    </row>
    <row r="150">
      <c r="A150" s="34" t="n">
        <v>33</v>
      </c>
      <c r="B150" s="34" t="inlineStr">
        <is>
          <t>Aug</t>
        </is>
      </c>
      <c r="C150" s="34" t="inlineStr">
        <is>
          <t>2028-08-30</t>
        </is>
      </c>
      <c r="D150" s="11">
        <f>G149</f>
        <v/>
      </c>
      <c r="E150" s="11">
        <f>MAX(0,D150*0.006974999999999999)</f>
        <v/>
      </c>
      <c r="F150" s="11">
        <f>MAX(0,MIN(D150,5084.7-E150))</f>
        <v/>
      </c>
      <c r="G150" s="11">
        <f>MAX(0,D150-F150)</f>
        <v/>
      </c>
      <c r="H150" s="11">
        <f>H149+E150</f>
        <v/>
      </c>
      <c r="I150" s="11">
        <f>I149+F150</f>
        <v/>
      </c>
    </row>
    <row r="151">
      <c r="A151" s="34" t="n">
        <v>34</v>
      </c>
      <c r="B151" s="34" t="inlineStr">
        <is>
          <t>Sep</t>
        </is>
      </c>
      <c r="C151" s="34" t="inlineStr">
        <is>
          <t>2028-09-30</t>
        </is>
      </c>
      <c r="D151" s="11">
        <f>G150</f>
        <v/>
      </c>
      <c r="E151" s="11">
        <f>MAX(0,D151*0.006974999999999999)</f>
        <v/>
      </c>
      <c r="F151" s="11">
        <f>MAX(0,MIN(D151,5084.7-E151))</f>
        <v/>
      </c>
      <c r="G151" s="11">
        <f>MAX(0,D151-F151)</f>
        <v/>
      </c>
      <c r="H151" s="11">
        <f>H150+E151</f>
        <v/>
      </c>
      <c r="I151" s="11">
        <f>I150+F151</f>
        <v/>
      </c>
    </row>
    <row r="152">
      <c r="A152" s="34" t="n">
        <v>35</v>
      </c>
      <c r="B152" s="34" t="inlineStr">
        <is>
          <t>Oct</t>
        </is>
      </c>
      <c r="C152" s="34" t="inlineStr">
        <is>
          <t>2028-10-30</t>
        </is>
      </c>
      <c r="D152" s="11">
        <f>G151</f>
        <v/>
      </c>
      <c r="E152" s="11">
        <f>MAX(0,D152*0.006974999999999999)</f>
        <v/>
      </c>
      <c r="F152" s="11">
        <f>MAX(0,MIN(D152,5084.7-E152))</f>
        <v/>
      </c>
      <c r="G152" s="11">
        <f>MAX(0,D152-F152)</f>
        <v/>
      </c>
      <c r="H152" s="11">
        <f>H151+E152</f>
        <v/>
      </c>
      <c r="I152" s="11">
        <f>I151+F152</f>
        <v/>
      </c>
    </row>
    <row r="153">
      <c r="A153" s="34" t="n">
        <v>36</v>
      </c>
      <c r="B153" s="34" t="inlineStr">
        <is>
          <t>Nov</t>
        </is>
      </c>
      <c r="C153" s="34" t="inlineStr">
        <is>
          <t>2028-11-30</t>
        </is>
      </c>
      <c r="D153" s="11">
        <f>G152</f>
        <v/>
      </c>
      <c r="E153" s="11">
        <f>MAX(0,D153*0.006974999999999999)</f>
        <v/>
      </c>
      <c r="F153" s="11">
        <f>MAX(0,MIN(D153,5084.7-E153))</f>
        <v/>
      </c>
      <c r="G153" s="11">
        <f>MAX(0,D153-F153)</f>
        <v/>
      </c>
      <c r="H153" s="11">
        <f>H152+E153</f>
        <v/>
      </c>
      <c r="I153" s="11">
        <f>I152+F153</f>
        <v/>
      </c>
    </row>
    <row r="154">
      <c r="A154" s="34" t="n">
        <v>37</v>
      </c>
      <c r="B154" s="34" t="inlineStr">
        <is>
          <t>Dec</t>
        </is>
      </c>
      <c r="C154" s="34" t="inlineStr">
        <is>
          <t>2028-12-30</t>
        </is>
      </c>
      <c r="D154" s="11">
        <f>G153</f>
        <v/>
      </c>
      <c r="E154" s="11">
        <f>MAX(0,D154*0.006974999999999999)</f>
        <v/>
      </c>
      <c r="F154" s="11">
        <f>MAX(0,MIN(D154,5084.7-E154))</f>
        <v/>
      </c>
      <c r="G154" s="11">
        <f>MAX(0,D154-F154)</f>
        <v/>
      </c>
      <c r="H154" s="11">
        <f>H153+E154</f>
        <v/>
      </c>
      <c r="I154" s="11">
        <f>I153+F154</f>
        <v/>
      </c>
    </row>
    <row r="155">
      <c r="A155" s="34" t="n">
        <v>38</v>
      </c>
      <c r="B155" s="34" t="inlineStr">
        <is>
          <t>Jan</t>
        </is>
      </c>
      <c r="C155" s="34" t="inlineStr">
        <is>
          <t>2029-01-30</t>
        </is>
      </c>
      <c r="D155" s="11">
        <f>G154</f>
        <v/>
      </c>
      <c r="E155" s="11">
        <f>MAX(0,D155*0.006974999999999999)</f>
        <v/>
      </c>
      <c r="F155" s="11">
        <f>MAX(0,MIN(D155,5084.7-E155))</f>
        <v/>
      </c>
      <c r="G155" s="11">
        <f>MAX(0,D155-F155)</f>
        <v/>
      </c>
      <c r="H155" s="11">
        <f>H154+E155</f>
        <v/>
      </c>
      <c r="I155" s="11">
        <f>I154+F155</f>
        <v/>
      </c>
    </row>
    <row r="156">
      <c r="A156" s="34" t="n">
        <v>39</v>
      </c>
      <c r="B156" s="34" t="inlineStr">
        <is>
          <t>Feb</t>
        </is>
      </c>
      <c r="C156" s="34" t="inlineStr">
        <is>
          <t>2029-02-28</t>
        </is>
      </c>
      <c r="D156" s="11">
        <f>G155</f>
        <v/>
      </c>
      <c r="E156" s="11">
        <f>MAX(0,D156*0.006974999999999999)</f>
        <v/>
      </c>
      <c r="F156" s="11">
        <f>MAX(0,MIN(D156,5084.7-E156))</f>
        <v/>
      </c>
      <c r="G156" s="11">
        <f>MAX(0,D156-F156)</f>
        <v/>
      </c>
      <c r="H156" s="11">
        <f>H155+E156</f>
        <v/>
      </c>
      <c r="I156" s="11">
        <f>I155+F156</f>
        <v/>
      </c>
    </row>
    <row r="157">
      <c r="A157" s="34" t="n">
        <v>40</v>
      </c>
      <c r="B157" s="34" t="inlineStr">
        <is>
          <t>Mar</t>
        </is>
      </c>
      <c r="C157" s="34" t="inlineStr">
        <is>
          <t>2029-03-30</t>
        </is>
      </c>
      <c r="D157" s="11">
        <f>G156</f>
        <v/>
      </c>
      <c r="E157" s="11">
        <f>MAX(0,D157*0.006974999999999999)</f>
        <v/>
      </c>
      <c r="F157" s="11">
        <f>MAX(0,MIN(D157,5084.7-E157))</f>
        <v/>
      </c>
      <c r="G157" s="11">
        <f>MAX(0,D157-F157)</f>
        <v/>
      </c>
      <c r="H157" s="11">
        <f>H156+E157</f>
        <v/>
      </c>
      <c r="I157" s="11">
        <f>I156+F157</f>
        <v/>
      </c>
    </row>
    <row r="158">
      <c r="A158" s="34" t="n">
        <v>41</v>
      </c>
      <c r="B158" s="34" t="inlineStr">
        <is>
          <t>Apr</t>
        </is>
      </c>
      <c r="C158" s="34" t="inlineStr">
        <is>
          <t>2029-04-30</t>
        </is>
      </c>
      <c r="D158" s="11">
        <f>G157</f>
        <v/>
      </c>
      <c r="E158" s="11">
        <f>MAX(0,D158*0.006974999999999999)</f>
        <v/>
      </c>
      <c r="F158" s="11">
        <f>MAX(0,MIN(D158,5084.7-E158))</f>
        <v/>
      </c>
      <c r="G158" s="11">
        <f>MAX(0,D158-F158)</f>
        <v/>
      </c>
      <c r="H158" s="11">
        <f>H157+E158</f>
        <v/>
      </c>
      <c r="I158" s="11">
        <f>I157+F158</f>
        <v/>
      </c>
    </row>
    <row r="159">
      <c r="A159" s="34" t="n">
        <v>42</v>
      </c>
      <c r="B159" s="34" t="inlineStr">
        <is>
          <t>May</t>
        </is>
      </c>
      <c r="C159" s="34" t="inlineStr">
        <is>
          <t>2029-05-30</t>
        </is>
      </c>
      <c r="D159" s="11">
        <f>G158</f>
        <v/>
      </c>
      <c r="E159" s="11">
        <f>MAX(0,D159*0.006974999999999999)</f>
        <v/>
      </c>
      <c r="F159" s="11">
        <f>MAX(0,MIN(D159,5084.7-E159))</f>
        <v/>
      </c>
      <c r="G159" s="11">
        <f>MAX(0,D159-F159)</f>
        <v/>
      </c>
      <c r="H159" s="11">
        <f>H158+E159</f>
        <v/>
      </c>
      <c r="I159" s="11">
        <f>I158+F159</f>
        <v/>
      </c>
    </row>
    <row r="160">
      <c r="A160" s="34" t="n">
        <v>43</v>
      </c>
      <c r="B160" s="34" t="inlineStr">
        <is>
          <t>Jun</t>
        </is>
      </c>
      <c r="C160" s="34" t="inlineStr">
        <is>
          <t>2029-06-30</t>
        </is>
      </c>
      <c r="D160" s="11">
        <f>G159</f>
        <v/>
      </c>
      <c r="E160" s="11">
        <f>MAX(0,D160*0.006974999999999999)</f>
        <v/>
      </c>
      <c r="F160" s="11">
        <f>MAX(0,MIN(D160,5084.7-E160))</f>
        <v/>
      </c>
      <c r="G160" s="11">
        <f>MAX(0,D160-F160)</f>
        <v/>
      </c>
      <c r="H160" s="11">
        <f>H159+E160</f>
        <v/>
      </c>
      <c r="I160" s="11">
        <f>I159+F160</f>
        <v/>
      </c>
    </row>
    <row r="161">
      <c r="A161" s="34" t="n">
        <v>44</v>
      </c>
      <c r="B161" s="34" t="inlineStr">
        <is>
          <t>Jul</t>
        </is>
      </c>
      <c r="C161" s="34" t="inlineStr">
        <is>
          <t>2029-07-30</t>
        </is>
      </c>
      <c r="D161" s="11">
        <f>G160</f>
        <v/>
      </c>
      <c r="E161" s="11">
        <f>MAX(0,D161*0.006974999999999999)</f>
        <v/>
      </c>
      <c r="F161" s="11">
        <f>MAX(0,MIN(D161,5084.7-E161))</f>
        <v/>
      </c>
      <c r="G161" s="11">
        <f>MAX(0,D161-F161)</f>
        <v/>
      </c>
      <c r="H161" s="11">
        <f>H160+E161</f>
        <v/>
      </c>
      <c r="I161" s="11">
        <f>I160+F161</f>
        <v/>
      </c>
    </row>
    <row r="162">
      <c r="A162" s="34" t="n">
        <v>45</v>
      </c>
      <c r="B162" s="34" t="inlineStr">
        <is>
          <t>Aug</t>
        </is>
      </c>
      <c r="C162" s="34" t="inlineStr">
        <is>
          <t>2029-08-30</t>
        </is>
      </c>
      <c r="D162" s="11">
        <f>G161</f>
        <v/>
      </c>
      <c r="E162" s="11">
        <f>MAX(0,D162*0.006974999999999999)</f>
        <v/>
      </c>
      <c r="F162" s="11">
        <f>MAX(0,MIN(D162,5084.7-E162))</f>
        <v/>
      </c>
      <c r="G162" s="11">
        <f>MAX(0,D162-F162)</f>
        <v/>
      </c>
      <c r="H162" s="11">
        <f>H161+E162</f>
        <v/>
      </c>
      <c r="I162" s="11">
        <f>I161+F162</f>
        <v/>
      </c>
    </row>
    <row r="163">
      <c r="A163" s="34" t="n">
        <v>46</v>
      </c>
      <c r="B163" s="34" t="inlineStr">
        <is>
          <t>Sep</t>
        </is>
      </c>
      <c r="C163" s="34" t="inlineStr">
        <is>
          <t>2029-09-30</t>
        </is>
      </c>
      <c r="D163" s="11">
        <f>G162</f>
        <v/>
      </c>
      <c r="E163" s="11">
        <f>MAX(0,D163*0.006974999999999999)</f>
        <v/>
      </c>
      <c r="F163" s="11">
        <f>MAX(0,MIN(D163,5084.7-E163))</f>
        <v/>
      </c>
      <c r="G163" s="11">
        <f>MAX(0,D163-F163)</f>
        <v/>
      </c>
      <c r="H163" s="11">
        <f>H162+E163</f>
        <v/>
      </c>
      <c r="I163" s="11">
        <f>I162+F163</f>
        <v/>
      </c>
    </row>
    <row r="164">
      <c r="A164" s="34" t="n">
        <v>47</v>
      </c>
      <c r="B164" s="34" t="inlineStr">
        <is>
          <t>Oct</t>
        </is>
      </c>
      <c r="C164" s="34" t="inlineStr">
        <is>
          <t>2029-10-30</t>
        </is>
      </c>
      <c r="D164" s="11">
        <f>G163</f>
        <v/>
      </c>
      <c r="E164" s="11">
        <f>MAX(0,D164*0.006974999999999999)</f>
        <v/>
      </c>
      <c r="F164" s="11">
        <f>MAX(0,MIN(D164,5084.7-E164))</f>
        <v/>
      </c>
      <c r="G164" s="11">
        <f>MAX(0,D164-F164)</f>
        <v/>
      </c>
      <c r="H164" s="11">
        <f>H163+E164</f>
        <v/>
      </c>
      <c r="I164" s="11">
        <f>I163+F164</f>
        <v/>
      </c>
    </row>
    <row r="165">
      <c r="A165" s="34" t="n">
        <v>48</v>
      </c>
      <c r="B165" s="34" t="inlineStr">
        <is>
          <t>Nov</t>
        </is>
      </c>
      <c r="C165" s="34" t="inlineStr">
        <is>
          <t>2029-11-30</t>
        </is>
      </c>
      <c r="D165" s="11">
        <f>G164</f>
        <v/>
      </c>
      <c r="E165" s="11">
        <f>MAX(0,D165*0.006974999999999999)</f>
        <v/>
      </c>
      <c r="F165" s="11">
        <f>MAX(0,MIN(D165,5084.7-E165))</f>
        <v/>
      </c>
      <c r="G165" s="11">
        <f>MAX(0,D165-F165)</f>
        <v/>
      </c>
      <c r="H165" s="11">
        <f>H164+E165</f>
        <v/>
      </c>
      <c r="I165" s="11">
        <f>I164+F165</f>
        <v/>
      </c>
    </row>
    <row r="166">
      <c r="A166" s="34" t="n">
        <v>49</v>
      </c>
      <c r="B166" s="34" t="inlineStr">
        <is>
          <t>Dec</t>
        </is>
      </c>
      <c r="C166" s="34" t="inlineStr">
        <is>
          <t>2029-12-30</t>
        </is>
      </c>
      <c r="D166" s="11">
        <f>G165</f>
        <v/>
      </c>
      <c r="E166" s="11">
        <f>MAX(0,D166*0.006974999999999999)</f>
        <v/>
      </c>
      <c r="F166" s="11">
        <f>MAX(0,MIN(D166,5084.7-E166))</f>
        <v/>
      </c>
      <c r="G166" s="11">
        <f>MAX(0,D166-F166)</f>
        <v/>
      </c>
      <c r="H166" s="11">
        <f>H165+E166</f>
        <v/>
      </c>
      <c r="I166" s="11">
        <f>I165+F166</f>
        <v/>
      </c>
    </row>
    <row r="167">
      <c r="A167" s="34" t="n">
        <v>50</v>
      </c>
      <c r="B167" s="34" t="inlineStr">
        <is>
          <t>Jan</t>
        </is>
      </c>
      <c r="C167" s="34" t="inlineStr">
        <is>
          <t>2030-01-30</t>
        </is>
      </c>
      <c r="D167" s="11">
        <f>G166</f>
        <v/>
      </c>
      <c r="E167" s="11">
        <f>MAX(0,D167*0.006974999999999999)</f>
        <v/>
      </c>
      <c r="F167" s="11">
        <f>MAX(0,MIN(D167,5084.7-E167))</f>
        <v/>
      </c>
      <c r="G167" s="11">
        <f>MAX(0,D167-F167)</f>
        <v/>
      </c>
      <c r="H167" s="11">
        <f>H166+E167</f>
        <v/>
      </c>
      <c r="I167" s="11">
        <f>I166+F167</f>
        <v/>
      </c>
    </row>
    <row r="168">
      <c r="A168" s="34" t="n">
        <v>51</v>
      </c>
      <c r="B168" s="34" t="inlineStr">
        <is>
          <t>Feb</t>
        </is>
      </c>
      <c r="C168" s="34" t="inlineStr">
        <is>
          <t>2030-02-28</t>
        </is>
      </c>
      <c r="D168" s="11">
        <f>G167</f>
        <v/>
      </c>
      <c r="E168" s="11">
        <f>MAX(0,D168*0.006974999999999999)</f>
        <v/>
      </c>
      <c r="F168" s="11">
        <f>MAX(0,MIN(D168,5084.7-E168))</f>
        <v/>
      </c>
      <c r="G168" s="11">
        <f>MAX(0,D168-F168)</f>
        <v/>
      </c>
      <c r="H168" s="11">
        <f>H167+E168</f>
        <v/>
      </c>
      <c r="I168" s="11">
        <f>I167+F168</f>
        <v/>
      </c>
    </row>
    <row r="169">
      <c r="A169" s="34" t="n">
        <v>52</v>
      </c>
      <c r="B169" s="34" t="inlineStr">
        <is>
          <t>Mar</t>
        </is>
      </c>
      <c r="C169" s="34" t="inlineStr">
        <is>
          <t>2030-03-30</t>
        </is>
      </c>
      <c r="D169" s="11">
        <f>G168</f>
        <v/>
      </c>
      <c r="E169" s="11">
        <f>MAX(0,D169*0.006974999999999999)</f>
        <v/>
      </c>
      <c r="F169" s="11">
        <f>MAX(0,MIN(D169,5084.7-E169))</f>
        <v/>
      </c>
      <c r="G169" s="11">
        <f>MAX(0,D169-F169)</f>
        <v/>
      </c>
      <c r="H169" s="11">
        <f>H168+E169</f>
        <v/>
      </c>
      <c r="I169" s="11">
        <f>I168+F169</f>
        <v/>
      </c>
    </row>
    <row r="170">
      <c r="A170" s="34" t="n">
        <v>53</v>
      </c>
      <c r="B170" s="34" t="inlineStr">
        <is>
          <t>Apr</t>
        </is>
      </c>
      <c r="C170" s="34" t="inlineStr">
        <is>
          <t>2030-04-30</t>
        </is>
      </c>
      <c r="D170" s="11">
        <f>G169</f>
        <v/>
      </c>
      <c r="E170" s="11">
        <f>MAX(0,D170*0.006974999999999999)</f>
        <v/>
      </c>
      <c r="F170" s="11">
        <f>MAX(0,MIN(D170,5084.7-E170))</f>
        <v/>
      </c>
      <c r="G170" s="11">
        <f>MAX(0,D170-F170)</f>
        <v/>
      </c>
      <c r="H170" s="11">
        <f>H169+E170</f>
        <v/>
      </c>
      <c r="I170" s="11">
        <f>I169+F170</f>
        <v/>
      </c>
    </row>
    <row r="171">
      <c r="A171" s="34" t="n">
        <v>54</v>
      </c>
      <c r="B171" s="34" t="inlineStr">
        <is>
          <t>May</t>
        </is>
      </c>
      <c r="C171" s="34" t="inlineStr">
        <is>
          <t>2030-05-30</t>
        </is>
      </c>
      <c r="D171" s="11">
        <f>G170</f>
        <v/>
      </c>
      <c r="E171" s="11">
        <f>MAX(0,D171*0.006974999999999999)</f>
        <v/>
      </c>
      <c r="F171" s="11">
        <f>MAX(0,MIN(D171,5084.7-E171))</f>
        <v/>
      </c>
      <c r="G171" s="11">
        <f>MAX(0,D171-F171)</f>
        <v/>
      </c>
      <c r="H171" s="11">
        <f>H170+E171</f>
        <v/>
      </c>
      <c r="I171" s="11">
        <f>I170+F171</f>
        <v/>
      </c>
    </row>
    <row r="172">
      <c r="A172" s="34" t="n">
        <v>55</v>
      </c>
      <c r="B172" s="34" t="inlineStr">
        <is>
          <t>Jun</t>
        </is>
      </c>
      <c r="C172" s="34" t="inlineStr">
        <is>
          <t>2030-06-30</t>
        </is>
      </c>
      <c r="D172" s="11">
        <f>G171</f>
        <v/>
      </c>
      <c r="E172" s="11">
        <f>MAX(0,D172*0.006974999999999999)</f>
        <v/>
      </c>
      <c r="F172" s="11">
        <f>MAX(0,MIN(D172,5084.7-E172))</f>
        <v/>
      </c>
      <c r="G172" s="11">
        <f>MAX(0,D172-F172)</f>
        <v/>
      </c>
      <c r="H172" s="11">
        <f>H171+E172</f>
        <v/>
      </c>
      <c r="I172" s="11">
        <f>I171+F172</f>
        <v/>
      </c>
    </row>
    <row r="173">
      <c r="A173" s="34" t="n">
        <v>56</v>
      </c>
      <c r="B173" s="34" t="inlineStr">
        <is>
          <t>Jul</t>
        </is>
      </c>
      <c r="C173" s="34" t="inlineStr">
        <is>
          <t>2030-07-30</t>
        </is>
      </c>
      <c r="D173" s="11">
        <f>G172</f>
        <v/>
      </c>
      <c r="E173" s="11">
        <f>MAX(0,D173*0.006974999999999999)</f>
        <v/>
      </c>
      <c r="F173" s="11">
        <f>MAX(0,MIN(D173,5084.7-E173))</f>
        <v/>
      </c>
      <c r="G173" s="11">
        <f>MAX(0,D173-F173)</f>
        <v/>
      </c>
      <c r="H173" s="11">
        <f>H172+E173</f>
        <v/>
      </c>
      <c r="I173" s="11">
        <f>I172+F173</f>
        <v/>
      </c>
    </row>
    <row r="174">
      <c r="A174" s="73" t="n"/>
      <c r="B174" s="74" t="inlineStr">
        <is>
          <t>TOTAL</t>
        </is>
      </c>
      <c r="C174" s="73" t="n"/>
      <c r="D174" s="73" t="n"/>
      <c r="E174" s="77">
        <f>SUM(E118:E173)</f>
        <v/>
      </c>
      <c r="F174" s="77">
        <f>SUM(F118:F173)</f>
        <v/>
      </c>
      <c r="G174" s="73" t="n"/>
      <c r="H174" s="73" t="n"/>
      <c r="I174" s="73" t="n"/>
    </row>
    <row r="177">
      <c r="A177" s="39" t="inlineStr">
        <is>
          <t>LOAN 3: AMUR FINANCIAL</t>
        </is>
      </c>
    </row>
    <row r="178">
      <c r="B178" s="20" t="inlineStr">
        <is>
          <t>Loan ID</t>
        </is>
      </c>
      <c r="C178" t="inlineStr">
        <is>
          <t>01-2984-000-000-00</t>
        </is>
      </c>
    </row>
    <row r="179">
      <c r="B179" s="20" t="inlineStr">
        <is>
          <t>Account #</t>
        </is>
      </c>
      <c r="C179" t="inlineStr">
        <is>
          <t>1260028</t>
        </is>
      </c>
    </row>
    <row r="180">
      <c r="B180" s="20" t="inlineStr">
        <is>
          <t>Description</t>
        </is>
      </c>
      <c r="C180" t="inlineStr">
        <is>
          <t>10 Tanker Vacuum Pumps (Sept 2025)</t>
        </is>
      </c>
    </row>
    <row r="181">
      <c r="B181" s="20" t="inlineStr">
        <is>
          <t>Origination Date</t>
        </is>
      </c>
      <c r="C181" t="inlineStr">
        <is>
          <t>2025-09-01</t>
        </is>
      </c>
    </row>
    <row r="182">
      <c r="B182" s="20" t="inlineStr">
        <is>
          <t>Maturity Date</t>
        </is>
      </c>
      <c r="C182" t="inlineStr">
        <is>
          <t>2031-08-01</t>
        </is>
      </c>
    </row>
    <row r="183">
      <c r="B183" s="20" t="inlineStr">
        <is>
          <t>Opening Balance</t>
        </is>
      </c>
      <c r="C183" s="3" t="n">
        <v>67656.25</v>
      </c>
    </row>
    <row r="184">
      <c r="B184" s="20" t="inlineStr">
        <is>
          <t>Remaining Balance (Nov 2025)</t>
        </is>
      </c>
      <c r="C184" s="3" t="n">
        <v>65619</v>
      </c>
    </row>
    <row r="185">
      <c r="B185" s="20" t="inlineStr">
        <is>
          <t>Annual Interest Rate</t>
        </is>
      </c>
      <c r="C185" t="inlineStr">
        <is>
          <t>10.75%</t>
        </is>
      </c>
    </row>
    <row r="186">
      <c r="B186" s="20" t="inlineStr">
        <is>
          <t>Monthly Payment</t>
        </is>
      </c>
      <c r="C186" s="3" t="n">
        <v>1279.13</v>
      </c>
    </row>
    <row r="187">
      <c r="B187" s="20" t="inlineStr">
        <is>
          <t>Loan Type</t>
        </is>
      </c>
      <c r="C187" t="inlineStr">
        <is>
          <t>AMORTIZING</t>
        </is>
      </c>
    </row>
    <row r="188">
      <c r="B188" s="20" t="inlineStr">
        <is>
          <t>Use</t>
        </is>
      </c>
      <c r="C188" t="inlineStr">
        <is>
          <t>Equipment (Pumps)</t>
        </is>
      </c>
    </row>
    <row r="189">
      <c r="B189" s="20" t="inlineStr">
        <is>
          <t>Source</t>
        </is>
      </c>
      <c r="C189" t="inlineStr">
        <is>
          <t>Meiborg_Debt_Schedule_202511.xlsx</t>
        </is>
      </c>
    </row>
    <row r="191">
      <c r="A191" s="76" t="inlineStr">
        <is>
          <t>AMORTIZATION SCHEDULE</t>
        </is>
      </c>
    </row>
    <row r="192">
      <c r="A192" s="71" t="inlineStr">
        <is>
          <t>#</t>
        </is>
      </c>
      <c r="B192" s="71" t="inlineStr">
        <is>
          <t>Month</t>
        </is>
      </c>
      <c r="C192" s="71" t="inlineStr">
        <is>
          <t>Date</t>
        </is>
      </c>
      <c r="D192" s="71" t="inlineStr">
        <is>
          <t>Opening</t>
        </is>
      </c>
      <c r="E192" s="71" t="inlineStr">
        <is>
          <t>Interest</t>
        </is>
      </c>
      <c r="F192" s="71" t="inlineStr">
        <is>
          <t>Principal</t>
        </is>
      </c>
      <c r="G192" s="71" t="inlineStr">
        <is>
          <t>Closing</t>
        </is>
      </c>
      <c r="H192" s="71" t="inlineStr">
        <is>
          <t>Cum Int</t>
        </is>
      </c>
      <c r="I192" s="71" t="inlineStr">
        <is>
          <t>Cum Prin</t>
        </is>
      </c>
    </row>
    <row r="193">
      <c r="A193" s="34" t="n">
        <v>1</v>
      </c>
      <c r="B193" s="34" t="inlineStr">
        <is>
          <t>Dec</t>
        </is>
      </c>
      <c r="C193" s="34" t="inlineStr">
        <is>
          <t>2025-12-30</t>
        </is>
      </c>
      <c r="D193" s="11" t="n">
        <v>65619</v>
      </c>
      <c r="E193" s="11">
        <f>MAX(0,D193*0.008958333333333334)</f>
        <v/>
      </c>
      <c r="F193" s="11">
        <f>MAX(0,MIN(D193,1279.13-E193))</f>
        <v/>
      </c>
      <c r="G193" s="11">
        <f>MAX(0,D193-F193)</f>
        <v/>
      </c>
      <c r="H193" s="11">
        <f>E193</f>
        <v/>
      </c>
      <c r="I193" s="11">
        <f>F193</f>
        <v/>
      </c>
    </row>
    <row r="194">
      <c r="A194" s="34" t="n">
        <v>2</v>
      </c>
      <c r="B194" s="34" t="inlineStr">
        <is>
          <t>Jan</t>
        </is>
      </c>
      <c r="C194" s="34" t="inlineStr">
        <is>
          <t>2026-01-30</t>
        </is>
      </c>
      <c r="D194" s="11">
        <f>G193</f>
        <v/>
      </c>
      <c r="E194" s="11">
        <f>MAX(0,D194*0.008958333333333334)</f>
        <v/>
      </c>
      <c r="F194" s="11">
        <f>MAX(0,MIN(D194,1279.13-E194))</f>
        <v/>
      </c>
      <c r="G194" s="11">
        <f>MAX(0,D194-F194)</f>
        <v/>
      </c>
      <c r="H194" s="11">
        <f>H193+E194</f>
        <v/>
      </c>
      <c r="I194" s="11">
        <f>I193+F194</f>
        <v/>
      </c>
    </row>
    <row r="195">
      <c r="A195" s="34" t="n">
        <v>3</v>
      </c>
      <c r="B195" s="34" t="inlineStr">
        <is>
          <t>Feb</t>
        </is>
      </c>
      <c r="C195" s="34" t="inlineStr">
        <is>
          <t>2026-02-28</t>
        </is>
      </c>
      <c r="D195" s="11">
        <f>G194</f>
        <v/>
      </c>
      <c r="E195" s="11">
        <f>MAX(0,D195*0.008958333333333334)</f>
        <v/>
      </c>
      <c r="F195" s="11">
        <f>MAX(0,MIN(D195,1279.13-E195))</f>
        <v/>
      </c>
      <c r="G195" s="11">
        <f>MAX(0,D195-F195)</f>
        <v/>
      </c>
      <c r="H195" s="11">
        <f>H194+E195</f>
        <v/>
      </c>
      <c r="I195" s="11">
        <f>I194+F195</f>
        <v/>
      </c>
    </row>
    <row r="196">
      <c r="A196" s="34" t="n">
        <v>4</v>
      </c>
      <c r="B196" s="34" t="inlineStr">
        <is>
          <t>Mar</t>
        </is>
      </c>
      <c r="C196" s="34" t="inlineStr">
        <is>
          <t>2026-03-30</t>
        </is>
      </c>
      <c r="D196" s="11">
        <f>G195</f>
        <v/>
      </c>
      <c r="E196" s="11">
        <f>MAX(0,D196*0.008958333333333334)</f>
        <v/>
      </c>
      <c r="F196" s="11">
        <f>MAX(0,MIN(D196,1279.13-E196))</f>
        <v/>
      </c>
      <c r="G196" s="11">
        <f>MAX(0,D196-F196)</f>
        <v/>
      </c>
      <c r="H196" s="11">
        <f>H195+E196</f>
        <v/>
      </c>
      <c r="I196" s="11">
        <f>I195+F196</f>
        <v/>
      </c>
    </row>
    <row r="197">
      <c r="A197" s="34" t="n">
        <v>5</v>
      </c>
      <c r="B197" s="34" t="inlineStr">
        <is>
          <t>Apr</t>
        </is>
      </c>
      <c r="C197" s="34" t="inlineStr">
        <is>
          <t>2026-04-30</t>
        </is>
      </c>
      <c r="D197" s="11">
        <f>G196</f>
        <v/>
      </c>
      <c r="E197" s="11">
        <f>MAX(0,D197*0.008958333333333334)</f>
        <v/>
      </c>
      <c r="F197" s="11">
        <f>MAX(0,MIN(D197,1279.13-E197))</f>
        <v/>
      </c>
      <c r="G197" s="11">
        <f>MAX(0,D197-F197)</f>
        <v/>
      </c>
      <c r="H197" s="11">
        <f>H196+E197</f>
        <v/>
      </c>
      <c r="I197" s="11">
        <f>I196+F197</f>
        <v/>
      </c>
    </row>
    <row r="198">
      <c r="A198" s="34" t="n">
        <v>6</v>
      </c>
      <c r="B198" s="34" t="inlineStr">
        <is>
          <t>May</t>
        </is>
      </c>
      <c r="C198" s="34" t="inlineStr">
        <is>
          <t>2026-05-30</t>
        </is>
      </c>
      <c r="D198" s="11">
        <f>G197</f>
        <v/>
      </c>
      <c r="E198" s="11">
        <f>MAX(0,D198*0.008958333333333334)</f>
        <v/>
      </c>
      <c r="F198" s="11">
        <f>MAX(0,MIN(D198,1279.13-E198))</f>
        <v/>
      </c>
      <c r="G198" s="11">
        <f>MAX(0,D198-F198)</f>
        <v/>
      </c>
      <c r="H198" s="11">
        <f>H197+E198</f>
        <v/>
      </c>
      <c r="I198" s="11">
        <f>I197+F198</f>
        <v/>
      </c>
    </row>
    <row r="199">
      <c r="A199" s="34" t="n">
        <v>7</v>
      </c>
      <c r="B199" s="34" t="inlineStr">
        <is>
          <t>Jun</t>
        </is>
      </c>
      <c r="C199" s="34" t="inlineStr">
        <is>
          <t>2026-06-30</t>
        </is>
      </c>
      <c r="D199" s="11">
        <f>G198</f>
        <v/>
      </c>
      <c r="E199" s="11">
        <f>MAX(0,D199*0.008958333333333334)</f>
        <v/>
      </c>
      <c r="F199" s="11">
        <f>MAX(0,MIN(D199,1279.13-E199))</f>
        <v/>
      </c>
      <c r="G199" s="11">
        <f>MAX(0,D199-F199)</f>
        <v/>
      </c>
      <c r="H199" s="11">
        <f>H198+E199</f>
        <v/>
      </c>
      <c r="I199" s="11">
        <f>I198+F199</f>
        <v/>
      </c>
    </row>
    <row r="200">
      <c r="A200" s="34" t="n">
        <v>8</v>
      </c>
      <c r="B200" s="34" t="inlineStr">
        <is>
          <t>Jul</t>
        </is>
      </c>
      <c r="C200" s="34" t="inlineStr">
        <is>
          <t>2026-07-30</t>
        </is>
      </c>
      <c r="D200" s="11">
        <f>G199</f>
        <v/>
      </c>
      <c r="E200" s="11">
        <f>MAX(0,D200*0.008958333333333334)</f>
        <v/>
      </c>
      <c r="F200" s="11">
        <f>MAX(0,MIN(D200,1279.13-E200))</f>
        <v/>
      </c>
      <c r="G200" s="11">
        <f>MAX(0,D200-F200)</f>
        <v/>
      </c>
      <c r="H200" s="11">
        <f>H199+E200</f>
        <v/>
      </c>
      <c r="I200" s="11">
        <f>I199+F200</f>
        <v/>
      </c>
    </row>
    <row r="201">
      <c r="A201" s="34" t="n">
        <v>9</v>
      </c>
      <c r="B201" s="34" t="inlineStr">
        <is>
          <t>Aug</t>
        </is>
      </c>
      <c r="C201" s="34" t="inlineStr">
        <is>
          <t>2026-08-30</t>
        </is>
      </c>
      <c r="D201" s="11">
        <f>G200</f>
        <v/>
      </c>
      <c r="E201" s="11">
        <f>MAX(0,D201*0.008958333333333334)</f>
        <v/>
      </c>
      <c r="F201" s="11">
        <f>MAX(0,MIN(D201,1279.13-E201))</f>
        <v/>
      </c>
      <c r="G201" s="11">
        <f>MAX(0,D201-F201)</f>
        <v/>
      </c>
      <c r="H201" s="11">
        <f>H200+E201</f>
        <v/>
      </c>
      <c r="I201" s="11">
        <f>I200+F201</f>
        <v/>
      </c>
    </row>
    <row r="202">
      <c r="A202" s="34" t="n">
        <v>10</v>
      </c>
      <c r="B202" s="34" t="inlineStr">
        <is>
          <t>Sep</t>
        </is>
      </c>
      <c r="C202" s="34" t="inlineStr">
        <is>
          <t>2026-09-30</t>
        </is>
      </c>
      <c r="D202" s="11">
        <f>G201</f>
        <v/>
      </c>
      <c r="E202" s="11">
        <f>MAX(0,D202*0.008958333333333334)</f>
        <v/>
      </c>
      <c r="F202" s="11">
        <f>MAX(0,MIN(D202,1279.13-E202))</f>
        <v/>
      </c>
      <c r="G202" s="11">
        <f>MAX(0,D202-F202)</f>
        <v/>
      </c>
      <c r="H202" s="11">
        <f>H201+E202</f>
        <v/>
      </c>
      <c r="I202" s="11">
        <f>I201+F202</f>
        <v/>
      </c>
    </row>
    <row r="203">
      <c r="A203" s="34" t="n">
        <v>11</v>
      </c>
      <c r="B203" s="34" t="inlineStr">
        <is>
          <t>Oct</t>
        </is>
      </c>
      <c r="C203" s="34" t="inlineStr">
        <is>
          <t>2026-10-30</t>
        </is>
      </c>
      <c r="D203" s="11">
        <f>G202</f>
        <v/>
      </c>
      <c r="E203" s="11">
        <f>MAX(0,D203*0.008958333333333334)</f>
        <v/>
      </c>
      <c r="F203" s="11">
        <f>MAX(0,MIN(D203,1279.13-E203))</f>
        <v/>
      </c>
      <c r="G203" s="11">
        <f>MAX(0,D203-F203)</f>
        <v/>
      </c>
      <c r="H203" s="11">
        <f>H202+E203</f>
        <v/>
      </c>
      <c r="I203" s="11">
        <f>I202+F203</f>
        <v/>
      </c>
    </row>
    <row r="204">
      <c r="A204" s="34" t="n">
        <v>12</v>
      </c>
      <c r="B204" s="34" t="inlineStr">
        <is>
          <t>Nov</t>
        </is>
      </c>
      <c r="C204" s="34" t="inlineStr">
        <is>
          <t>2026-11-30</t>
        </is>
      </c>
      <c r="D204" s="11">
        <f>G203</f>
        <v/>
      </c>
      <c r="E204" s="11">
        <f>MAX(0,D204*0.008958333333333334)</f>
        <v/>
      </c>
      <c r="F204" s="11">
        <f>MAX(0,MIN(D204,1279.13-E204))</f>
        <v/>
      </c>
      <c r="G204" s="11">
        <f>MAX(0,D204-F204)</f>
        <v/>
      </c>
      <c r="H204" s="11">
        <f>H203+E204</f>
        <v/>
      </c>
      <c r="I204" s="11">
        <f>I203+F204</f>
        <v/>
      </c>
    </row>
    <row r="205">
      <c r="A205" s="34" t="n">
        <v>13</v>
      </c>
      <c r="B205" s="34" t="inlineStr">
        <is>
          <t>Dec</t>
        </is>
      </c>
      <c r="C205" s="34" t="inlineStr">
        <is>
          <t>2026-12-30</t>
        </is>
      </c>
      <c r="D205" s="11">
        <f>G204</f>
        <v/>
      </c>
      <c r="E205" s="11">
        <f>MAX(0,D205*0.008958333333333334)</f>
        <v/>
      </c>
      <c r="F205" s="11">
        <f>MAX(0,MIN(D205,1279.13-E205))</f>
        <v/>
      </c>
      <c r="G205" s="11">
        <f>MAX(0,D205-F205)</f>
        <v/>
      </c>
      <c r="H205" s="11">
        <f>H204+E205</f>
        <v/>
      </c>
      <c r="I205" s="11">
        <f>I204+F205</f>
        <v/>
      </c>
    </row>
    <row r="206">
      <c r="A206" s="34" t="n">
        <v>14</v>
      </c>
      <c r="B206" s="34" t="inlineStr">
        <is>
          <t>Jan</t>
        </is>
      </c>
      <c r="C206" s="34" t="inlineStr">
        <is>
          <t>2027-01-30</t>
        </is>
      </c>
      <c r="D206" s="11">
        <f>G205</f>
        <v/>
      </c>
      <c r="E206" s="11">
        <f>MAX(0,D206*0.008958333333333334)</f>
        <v/>
      </c>
      <c r="F206" s="11">
        <f>MAX(0,MIN(D206,1279.13-E206))</f>
        <v/>
      </c>
      <c r="G206" s="11">
        <f>MAX(0,D206-F206)</f>
        <v/>
      </c>
      <c r="H206" s="11">
        <f>H205+E206</f>
        <v/>
      </c>
      <c r="I206" s="11">
        <f>I205+F206</f>
        <v/>
      </c>
    </row>
    <row r="207">
      <c r="A207" s="34" t="n">
        <v>15</v>
      </c>
      <c r="B207" s="34" t="inlineStr">
        <is>
          <t>Feb</t>
        </is>
      </c>
      <c r="C207" s="34" t="inlineStr">
        <is>
          <t>2027-02-28</t>
        </is>
      </c>
      <c r="D207" s="11">
        <f>G206</f>
        <v/>
      </c>
      <c r="E207" s="11">
        <f>MAX(0,D207*0.008958333333333334)</f>
        <v/>
      </c>
      <c r="F207" s="11">
        <f>MAX(0,MIN(D207,1279.13-E207))</f>
        <v/>
      </c>
      <c r="G207" s="11">
        <f>MAX(0,D207-F207)</f>
        <v/>
      </c>
      <c r="H207" s="11">
        <f>H206+E207</f>
        <v/>
      </c>
      <c r="I207" s="11">
        <f>I206+F207</f>
        <v/>
      </c>
    </row>
    <row r="208">
      <c r="A208" s="34" t="n">
        <v>16</v>
      </c>
      <c r="B208" s="34" t="inlineStr">
        <is>
          <t>Mar</t>
        </is>
      </c>
      <c r="C208" s="34" t="inlineStr">
        <is>
          <t>2027-03-30</t>
        </is>
      </c>
      <c r="D208" s="11">
        <f>G207</f>
        <v/>
      </c>
      <c r="E208" s="11">
        <f>MAX(0,D208*0.008958333333333334)</f>
        <v/>
      </c>
      <c r="F208" s="11">
        <f>MAX(0,MIN(D208,1279.13-E208))</f>
        <v/>
      </c>
      <c r="G208" s="11">
        <f>MAX(0,D208-F208)</f>
        <v/>
      </c>
      <c r="H208" s="11">
        <f>H207+E208</f>
        <v/>
      </c>
      <c r="I208" s="11">
        <f>I207+F208</f>
        <v/>
      </c>
    </row>
    <row r="209">
      <c r="A209" s="34" t="n">
        <v>17</v>
      </c>
      <c r="B209" s="34" t="inlineStr">
        <is>
          <t>Apr</t>
        </is>
      </c>
      <c r="C209" s="34" t="inlineStr">
        <is>
          <t>2027-04-30</t>
        </is>
      </c>
      <c r="D209" s="11">
        <f>G208</f>
        <v/>
      </c>
      <c r="E209" s="11">
        <f>MAX(0,D209*0.008958333333333334)</f>
        <v/>
      </c>
      <c r="F209" s="11">
        <f>MAX(0,MIN(D209,1279.13-E209))</f>
        <v/>
      </c>
      <c r="G209" s="11">
        <f>MAX(0,D209-F209)</f>
        <v/>
      </c>
      <c r="H209" s="11">
        <f>H208+E209</f>
        <v/>
      </c>
      <c r="I209" s="11">
        <f>I208+F209</f>
        <v/>
      </c>
    </row>
    <row r="210">
      <c r="A210" s="34" t="n">
        <v>18</v>
      </c>
      <c r="B210" s="34" t="inlineStr">
        <is>
          <t>May</t>
        </is>
      </c>
      <c r="C210" s="34" t="inlineStr">
        <is>
          <t>2027-05-30</t>
        </is>
      </c>
      <c r="D210" s="11">
        <f>G209</f>
        <v/>
      </c>
      <c r="E210" s="11">
        <f>MAX(0,D210*0.008958333333333334)</f>
        <v/>
      </c>
      <c r="F210" s="11">
        <f>MAX(0,MIN(D210,1279.13-E210))</f>
        <v/>
      </c>
      <c r="G210" s="11">
        <f>MAX(0,D210-F210)</f>
        <v/>
      </c>
      <c r="H210" s="11">
        <f>H209+E210</f>
        <v/>
      </c>
      <c r="I210" s="11">
        <f>I209+F210</f>
        <v/>
      </c>
    </row>
    <row r="211">
      <c r="A211" s="34" t="n">
        <v>19</v>
      </c>
      <c r="B211" s="34" t="inlineStr">
        <is>
          <t>Jun</t>
        </is>
      </c>
      <c r="C211" s="34" t="inlineStr">
        <is>
          <t>2027-06-30</t>
        </is>
      </c>
      <c r="D211" s="11">
        <f>G210</f>
        <v/>
      </c>
      <c r="E211" s="11">
        <f>MAX(0,D211*0.008958333333333334)</f>
        <v/>
      </c>
      <c r="F211" s="11">
        <f>MAX(0,MIN(D211,1279.13-E211))</f>
        <v/>
      </c>
      <c r="G211" s="11">
        <f>MAX(0,D211-F211)</f>
        <v/>
      </c>
      <c r="H211" s="11">
        <f>H210+E211</f>
        <v/>
      </c>
      <c r="I211" s="11">
        <f>I210+F211</f>
        <v/>
      </c>
    </row>
    <row r="212">
      <c r="A212" s="34" t="n">
        <v>20</v>
      </c>
      <c r="B212" s="34" t="inlineStr">
        <is>
          <t>Jul</t>
        </is>
      </c>
      <c r="C212" s="34" t="inlineStr">
        <is>
          <t>2027-07-30</t>
        </is>
      </c>
      <c r="D212" s="11">
        <f>G211</f>
        <v/>
      </c>
      <c r="E212" s="11">
        <f>MAX(0,D212*0.008958333333333334)</f>
        <v/>
      </c>
      <c r="F212" s="11">
        <f>MAX(0,MIN(D212,1279.13-E212))</f>
        <v/>
      </c>
      <c r="G212" s="11">
        <f>MAX(0,D212-F212)</f>
        <v/>
      </c>
      <c r="H212" s="11">
        <f>H211+E212</f>
        <v/>
      </c>
      <c r="I212" s="11">
        <f>I211+F212</f>
        <v/>
      </c>
    </row>
    <row r="213">
      <c r="A213" s="34" t="n">
        <v>21</v>
      </c>
      <c r="B213" s="34" t="inlineStr">
        <is>
          <t>Aug</t>
        </is>
      </c>
      <c r="C213" s="34" t="inlineStr">
        <is>
          <t>2027-08-30</t>
        </is>
      </c>
      <c r="D213" s="11">
        <f>G212</f>
        <v/>
      </c>
      <c r="E213" s="11">
        <f>MAX(0,D213*0.008958333333333334)</f>
        <v/>
      </c>
      <c r="F213" s="11">
        <f>MAX(0,MIN(D213,1279.13-E213))</f>
        <v/>
      </c>
      <c r="G213" s="11">
        <f>MAX(0,D213-F213)</f>
        <v/>
      </c>
      <c r="H213" s="11">
        <f>H212+E213</f>
        <v/>
      </c>
      <c r="I213" s="11">
        <f>I212+F213</f>
        <v/>
      </c>
    </row>
    <row r="214">
      <c r="A214" s="34" t="n">
        <v>22</v>
      </c>
      <c r="B214" s="34" t="inlineStr">
        <is>
          <t>Sep</t>
        </is>
      </c>
      <c r="C214" s="34" t="inlineStr">
        <is>
          <t>2027-09-30</t>
        </is>
      </c>
      <c r="D214" s="11">
        <f>G213</f>
        <v/>
      </c>
      <c r="E214" s="11">
        <f>MAX(0,D214*0.008958333333333334)</f>
        <v/>
      </c>
      <c r="F214" s="11">
        <f>MAX(0,MIN(D214,1279.13-E214))</f>
        <v/>
      </c>
      <c r="G214" s="11">
        <f>MAX(0,D214-F214)</f>
        <v/>
      </c>
      <c r="H214" s="11">
        <f>H213+E214</f>
        <v/>
      </c>
      <c r="I214" s="11">
        <f>I213+F214</f>
        <v/>
      </c>
    </row>
    <row r="215">
      <c r="A215" s="34" t="n">
        <v>23</v>
      </c>
      <c r="B215" s="34" t="inlineStr">
        <is>
          <t>Oct</t>
        </is>
      </c>
      <c r="C215" s="34" t="inlineStr">
        <is>
          <t>2027-10-30</t>
        </is>
      </c>
      <c r="D215" s="11">
        <f>G214</f>
        <v/>
      </c>
      <c r="E215" s="11">
        <f>MAX(0,D215*0.008958333333333334)</f>
        <v/>
      </c>
      <c r="F215" s="11">
        <f>MAX(0,MIN(D215,1279.13-E215))</f>
        <v/>
      </c>
      <c r="G215" s="11">
        <f>MAX(0,D215-F215)</f>
        <v/>
      </c>
      <c r="H215" s="11">
        <f>H214+E215</f>
        <v/>
      </c>
      <c r="I215" s="11">
        <f>I214+F215</f>
        <v/>
      </c>
    </row>
    <row r="216">
      <c r="A216" s="34" t="n">
        <v>24</v>
      </c>
      <c r="B216" s="34" t="inlineStr">
        <is>
          <t>Nov</t>
        </is>
      </c>
      <c r="C216" s="34" t="inlineStr">
        <is>
          <t>2027-11-30</t>
        </is>
      </c>
      <c r="D216" s="11">
        <f>G215</f>
        <v/>
      </c>
      <c r="E216" s="11">
        <f>MAX(0,D216*0.008958333333333334)</f>
        <v/>
      </c>
      <c r="F216" s="11">
        <f>MAX(0,MIN(D216,1279.13-E216))</f>
        <v/>
      </c>
      <c r="G216" s="11">
        <f>MAX(0,D216-F216)</f>
        <v/>
      </c>
      <c r="H216" s="11">
        <f>H215+E216</f>
        <v/>
      </c>
      <c r="I216" s="11">
        <f>I215+F216</f>
        <v/>
      </c>
    </row>
    <row r="217">
      <c r="A217" s="34" t="n">
        <v>25</v>
      </c>
      <c r="B217" s="34" t="inlineStr">
        <is>
          <t>Dec</t>
        </is>
      </c>
      <c r="C217" s="34" t="inlineStr">
        <is>
          <t>2027-12-30</t>
        </is>
      </c>
      <c r="D217" s="11">
        <f>G216</f>
        <v/>
      </c>
      <c r="E217" s="11">
        <f>MAX(0,D217*0.008958333333333334)</f>
        <v/>
      </c>
      <c r="F217" s="11">
        <f>MAX(0,MIN(D217,1279.13-E217))</f>
        <v/>
      </c>
      <c r="G217" s="11">
        <f>MAX(0,D217-F217)</f>
        <v/>
      </c>
      <c r="H217" s="11">
        <f>H216+E217</f>
        <v/>
      </c>
      <c r="I217" s="11">
        <f>I216+F217</f>
        <v/>
      </c>
    </row>
    <row r="218">
      <c r="A218" s="34" t="n">
        <v>26</v>
      </c>
      <c r="B218" s="34" t="inlineStr">
        <is>
          <t>Jan</t>
        </is>
      </c>
      <c r="C218" s="34" t="inlineStr">
        <is>
          <t>2028-01-30</t>
        </is>
      </c>
      <c r="D218" s="11">
        <f>G217</f>
        <v/>
      </c>
      <c r="E218" s="11">
        <f>MAX(0,D218*0.008958333333333334)</f>
        <v/>
      </c>
      <c r="F218" s="11">
        <f>MAX(0,MIN(D218,1279.13-E218))</f>
        <v/>
      </c>
      <c r="G218" s="11">
        <f>MAX(0,D218-F218)</f>
        <v/>
      </c>
      <c r="H218" s="11">
        <f>H217+E218</f>
        <v/>
      </c>
      <c r="I218" s="11">
        <f>I217+F218</f>
        <v/>
      </c>
    </row>
    <row r="219">
      <c r="A219" s="34" t="n">
        <v>27</v>
      </c>
      <c r="B219" s="34" t="inlineStr">
        <is>
          <t>Feb</t>
        </is>
      </c>
      <c r="C219" s="34" t="inlineStr">
        <is>
          <t>2028-02-29</t>
        </is>
      </c>
      <c r="D219" s="11">
        <f>G218</f>
        <v/>
      </c>
      <c r="E219" s="11">
        <f>MAX(0,D219*0.008958333333333334)</f>
        <v/>
      </c>
      <c r="F219" s="11">
        <f>MAX(0,MIN(D219,1279.13-E219))</f>
        <v/>
      </c>
      <c r="G219" s="11">
        <f>MAX(0,D219-F219)</f>
        <v/>
      </c>
      <c r="H219" s="11">
        <f>H218+E219</f>
        <v/>
      </c>
      <c r="I219" s="11">
        <f>I218+F219</f>
        <v/>
      </c>
    </row>
    <row r="220">
      <c r="A220" s="34" t="n">
        <v>28</v>
      </c>
      <c r="B220" s="34" t="inlineStr">
        <is>
          <t>Mar</t>
        </is>
      </c>
      <c r="C220" s="34" t="inlineStr">
        <is>
          <t>2028-03-30</t>
        </is>
      </c>
      <c r="D220" s="11">
        <f>G219</f>
        <v/>
      </c>
      <c r="E220" s="11">
        <f>MAX(0,D220*0.008958333333333334)</f>
        <v/>
      </c>
      <c r="F220" s="11">
        <f>MAX(0,MIN(D220,1279.13-E220))</f>
        <v/>
      </c>
      <c r="G220" s="11">
        <f>MAX(0,D220-F220)</f>
        <v/>
      </c>
      <c r="H220" s="11">
        <f>H219+E220</f>
        <v/>
      </c>
      <c r="I220" s="11">
        <f>I219+F220</f>
        <v/>
      </c>
    </row>
    <row r="221">
      <c r="A221" s="34" t="n">
        <v>29</v>
      </c>
      <c r="B221" s="34" t="inlineStr">
        <is>
          <t>Apr</t>
        </is>
      </c>
      <c r="C221" s="34" t="inlineStr">
        <is>
          <t>2028-04-30</t>
        </is>
      </c>
      <c r="D221" s="11">
        <f>G220</f>
        <v/>
      </c>
      <c r="E221" s="11">
        <f>MAX(0,D221*0.008958333333333334)</f>
        <v/>
      </c>
      <c r="F221" s="11">
        <f>MAX(0,MIN(D221,1279.13-E221))</f>
        <v/>
      </c>
      <c r="G221" s="11">
        <f>MAX(0,D221-F221)</f>
        <v/>
      </c>
      <c r="H221" s="11">
        <f>H220+E221</f>
        <v/>
      </c>
      <c r="I221" s="11">
        <f>I220+F221</f>
        <v/>
      </c>
    </row>
    <row r="222">
      <c r="A222" s="34" t="n">
        <v>30</v>
      </c>
      <c r="B222" s="34" t="inlineStr">
        <is>
          <t>May</t>
        </is>
      </c>
      <c r="C222" s="34" t="inlineStr">
        <is>
          <t>2028-05-30</t>
        </is>
      </c>
      <c r="D222" s="11">
        <f>G221</f>
        <v/>
      </c>
      <c r="E222" s="11">
        <f>MAX(0,D222*0.008958333333333334)</f>
        <v/>
      </c>
      <c r="F222" s="11">
        <f>MAX(0,MIN(D222,1279.13-E222))</f>
        <v/>
      </c>
      <c r="G222" s="11">
        <f>MAX(0,D222-F222)</f>
        <v/>
      </c>
      <c r="H222" s="11">
        <f>H221+E222</f>
        <v/>
      </c>
      <c r="I222" s="11">
        <f>I221+F222</f>
        <v/>
      </c>
    </row>
    <row r="223">
      <c r="A223" s="34" t="n">
        <v>31</v>
      </c>
      <c r="B223" s="34" t="inlineStr">
        <is>
          <t>Jun</t>
        </is>
      </c>
      <c r="C223" s="34" t="inlineStr">
        <is>
          <t>2028-06-30</t>
        </is>
      </c>
      <c r="D223" s="11">
        <f>G222</f>
        <v/>
      </c>
      <c r="E223" s="11">
        <f>MAX(0,D223*0.008958333333333334)</f>
        <v/>
      </c>
      <c r="F223" s="11">
        <f>MAX(0,MIN(D223,1279.13-E223))</f>
        <v/>
      </c>
      <c r="G223" s="11">
        <f>MAX(0,D223-F223)</f>
        <v/>
      </c>
      <c r="H223" s="11">
        <f>H222+E223</f>
        <v/>
      </c>
      <c r="I223" s="11">
        <f>I222+F223</f>
        <v/>
      </c>
    </row>
    <row r="224">
      <c r="A224" s="34" t="n">
        <v>32</v>
      </c>
      <c r="B224" s="34" t="inlineStr">
        <is>
          <t>Jul</t>
        </is>
      </c>
      <c r="C224" s="34" t="inlineStr">
        <is>
          <t>2028-07-30</t>
        </is>
      </c>
      <c r="D224" s="11">
        <f>G223</f>
        <v/>
      </c>
      <c r="E224" s="11">
        <f>MAX(0,D224*0.008958333333333334)</f>
        <v/>
      </c>
      <c r="F224" s="11">
        <f>MAX(0,MIN(D224,1279.13-E224))</f>
        <v/>
      </c>
      <c r="G224" s="11">
        <f>MAX(0,D224-F224)</f>
        <v/>
      </c>
      <c r="H224" s="11">
        <f>H223+E224</f>
        <v/>
      </c>
      <c r="I224" s="11">
        <f>I223+F224</f>
        <v/>
      </c>
    </row>
    <row r="225">
      <c r="A225" s="34" t="n">
        <v>33</v>
      </c>
      <c r="B225" s="34" t="inlineStr">
        <is>
          <t>Aug</t>
        </is>
      </c>
      <c r="C225" s="34" t="inlineStr">
        <is>
          <t>2028-08-30</t>
        </is>
      </c>
      <c r="D225" s="11">
        <f>G224</f>
        <v/>
      </c>
      <c r="E225" s="11">
        <f>MAX(0,D225*0.008958333333333334)</f>
        <v/>
      </c>
      <c r="F225" s="11">
        <f>MAX(0,MIN(D225,1279.13-E225))</f>
        <v/>
      </c>
      <c r="G225" s="11">
        <f>MAX(0,D225-F225)</f>
        <v/>
      </c>
      <c r="H225" s="11">
        <f>H224+E225</f>
        <v/>
      </c>
      <c r="I225" s="11">
        <f>I224+F225</f>
        <v/>
      </c>
    </row>
    <row r="226">
      <c r="A226" s="34" t="n">
        <v>34</v>
      </c>
      <c r="B226" s="34" t="inlineStr">
        <is>
          <t>Sep</t>
        </is>
      </c>
      <c r="C226" s="34" t="inlineStr">
        <is>
          <t>2028-09-30</t>
        </is>
      </c>
      <c r="D226" s="11">
        <f>G225</f>
        <v/>
      </c>
      <c r="E226" s="11">
        <f>MAX(0,D226*0.008958333333333334)</f>
        <v/>
      </c>
      <c r="F226" s="11">
        <f>MAX(0,MIN(D226,1279.13-E226))</f>
        <v/>
      </c>
      <c r="G226" s="11">
        <f>MAX(0,D226-F226)</f>
        <v/>
      </c>
      <c r="H226" s="11">
        <f>H225+E226</f>
        <v/>
      </c>
      <c r="I226" s="11">
        <f>I225+F226</f>
        <v/>
      </c>
    </row>
    <row r="227">
      <c r="A227" s="34" t="n">
        <v>35</v>
      </c>
      <c r="B227" s="34" t="inlineStr">
        <is>
          <t>Oct</t>
        </is>
      </c>
      <c r="C227" s="34" t="inlineStr">
        <is>
          <t>2028-10-30</t>
        </is>
      </c>
      <c r="D227" s="11">
        <f>G226</f>
        <v/>
      </c>
      <c r="E227" s="11">
        <f>MAX(0,D227*0.008958333333333334)</f>
        <v/>
      </c>
      <c r="F227" s="11">
        <f>MAX(0,MIN(D227,1279.13-E227))</f>
        <v/>
      </c>
      <c r="G227" s="11">
        <f>MAX(0,D227-F227)</f>
        <v/>
      </c>
      <c r="H227" s="11">
        <f>H226+E227</f>
        <v/>
      </c>
      <c r="I227" s="11">
        <f>I226+F227</f>
        <v/>
      </c>
    </row>
    <row r="228">
      <c r="A228" s="34" t="n">
        <v>36</v>
      </c>
      <c r="B228" s="34" t="inlineStr">
        <is>
          <t>Nov</t>
        </is>
      </c>
      <c r="C228" s="34" t="inlineStr">
        <is>
          <t>2028-11-30</t>
        </is>
      </c>
      <c r="D228" s="11">
        <f>G227</f>
        <v/>
      </c>
      <c r="E228" s="11">
        <f>MAX(0,D228*0.008958333333333334)</f>
        <v/>
      </c>
      <c r="F228" s="11">
        <f>MAX(0,MIN(D228,1279.13-E228))</f>
        <v/>
      </c>
      <c r="G228" s="11">
        <f>MAX(0,D228-F228)</f>
        <v/>
      </c>
      <c r="H228" s="11">
        <f>H227+E228</f>
        <v/>
      </c>
      <c r="I228" s="11">
        <f>I227+F228</f>
        <v/>
      </c>
    </row>
    <row r="229">
      <c r="A229" s="34" t="n">
        <v>37</v>
      </c>
      <c r="B229" s="34" t="inlineStr">
        <is>
          <t>Dec</t>
        </is>
      </c>
      <c r="C229" s="34" t="inlineStr">
        <is>
          <t>2028-12-30</t>
        </is>
      </c>
      <c r="D229" s="11">
        <f>G228</f>
        <v/>
      </c>
      <c r="E229" s="11">
        <f>MAX(0,D229*0.008958333333333334)</f>
        <v/>
      </c>
      <c r="F229" s="11">
        <f>MAX(0,MIN(D229,1279.13-E229))</f>
        <v/>
      </c>
      <c r="G229" s="11">
        <f>MAX(0,D229-F229)</f>
        <v/>
      </c>
      <c r="H229" s="11">
        <f>H228+E229</f>
        <v/>
      </c>
      <c r="I229" s="11">
        <f>I228+F229</f>
        <v/>
      </c>
    </row>
    <row r="230">
      <c r="A230" s="34" t="n">
        <v>38</v>
      </c>
      <c r="B230" s="34" t="inlineStr">
        <is>
          <t>Jan</t>
        </is>
      </c>
      <c r="C230" s="34" t="inlineStr">
        <is>
          <t>2029-01-30</t>
        </is>
      </c>
      <c r="D230" s="11">
        <f>G229</f>
        <v/>
      </c>
      <c r="E230" s="11">
        <f>MAX(0,D230*0.008958333333333334)</f>
        <v/>
      </c>
      <c r="F230" s="11">
        <f>MAX(0,MIN(D230,1279.13-E230))</f>
        <v/>
      </c>
      <c r="G230" s="11">
        <f>MAX(0,D230-F230)</f>
        <v/>
      </c>
      <c r="H230" s="11">
        <f>H229+E230</f>
        <v/>
      </c>
      <c r="I230" s="11">
        <f>I229+F230</f>
        <v/>
      </c>
    </row>
    <row r="231">
      <c r="A231" s="34" t="n">
        <v>39</v>
      </c>
      <c r="B231" s="34" t="inlineStr">
        <is>
          <t>Feb</t>
        </is>
      </c>
      <c r="C231" s="34" t="inlineStr">
        <is>
          <t>2029-02-28</t>
        </is>
      </c>
      <c r="D231" s="11">
        <f>G230</f>
        <v/>
      </c>
      <c r="E231" s="11">
        <f>MAX(0,D231*0.008958333333333334)</f>
        <v/>
      </c>
      <c r="F231" s="11">
        <f>MAX(0,MIN(D231,1279.13-E231))</f>
        <v/>
      </c>
      <c r="G231" s="11">
        <f>MAX(0,D231-F231)</f>
        <v/>
      </c>
      <c r="H231" s="11">
        <f>H230+E231</f>
        <v/>
      </c>
      <c r="I231" s="11">
        <f>I230+F231</f>
        <v/>
      </c>
    </row>
    <row r="232">
      <c r="A232" s="34" t="n">
        <v>40</v>
      </c>
      <c r="B232" s="34" t="inlineStr">
        <is>
          <t>Mar</t>
        </is>
      </c>
      <c r="C232" s="34" t="inlineStr">
        <is>
          <t>2029-03-30</t>
        </is>
      </c>
      <c r="D232" s="11">
        <f>G231</f>
        <v/>
      </c>
      <c r="E232" s="11">
        <f>MAX(0,D232*0.008958333333333334)</f>
        <v/>
      </c>
      <c r="F232" s="11">
        <f>MAX(0,MIN(D232,1279.13-E232))</f>
        <v/>
      </c>
      <c r="G232" s="11">
        <f>MAX(0,D232-F232)</f>
        <v/>
      </c>
      <c r="H232" s="11">
        <f>H231+E232</f>
        <v/>
      </c>
      <c r="I232" s="11">
        <f>I231+F232</f>
        <v/>
      </c>
    </row>
    <row r="233">
      <c r="A233" s="34" t="n">
        <v>41</v>
      </c>
      <c r="B233" s="34" t="inlineStr">
        <is>
          <t>Apr</t>
        </is>
      </c>
      <c r="C233" s="34" t="inlineStr">
        <is>
          <t>2029-04-30</t>
        </is>
      </c>
      <c r="D233" s="11">
        <f>G232</f>
        <v/>
      </c>
      <c r="E233" s="11">
        <f>MAX(0,D233*0.008958333333333334)</f>
        <v/>
      </c>
      <c r="F233" s="11">
        <f>MAX(0,MIN(D233,1279.13-E233))</f>
        <v/>
      </c>
      <c r="G233" s="11">
        <f>MAX(0,D233-F233)</f>
        <v/>
      </c>
      <c r="H233" s="11">
        <f>H232+E233</f>
        <v/>
      </c>
      <c r="I233" s="11">
        <f>I232+F233</f>
        <v/>
      </c>
    </row>
    <row r="234">
      <c r="A234" s="34" t="n">
        <v>42</v>
      </c>
      <c r="B234" s="34" t="inlineStr">
        <is>
          <t>May</t>
        </is>
      </c>
      <c r="C234" s="34" t="inlineStr">
        <is>
          <t>2029-05-30</t>
        </is>
      </c>
      <c r="D234" s="11">
        <f>G233</f>
        <v/>
      </c>
      <c r="E234" s="11">
        <f>MAX(0,D234*0.008958333333333334)</f>
        <v/>
      </c>
      <c r="F234" s="11">
        <f>MAX(0,MIN(D234,1279.13-E234))</f>
        <v/>
      </c>
      <c r="G234" s="11">
        <f>MAX(0,D234-F234)</f>
        <v/>
      </c>
      <c r="H234" s="11">
        <f>H233+E234</f>
        <v/>
      </c>
      <c r="I234" s="11">
        <f>I233+F234</f>
        <v/>
      </c>
    </row>
    <row r="235">
      <c r="A235" s="34" t="n">
        <v>43</v>
      </c>
      <c r="B235" s="34" t="inlineStr">
        <is>
          <t>Jun</t>
        </is>
      </c>
      <c r="C235" s="34" t="inlineStr">
        <is>
          <t>2029-06-30</t>
        </is>
      </c>
      <c r="D235" s="11">
        <f>G234</f>
        <v/>
      </c>
      <c r="E235" s="11">
        <f>MAX(0,D235*0.008958333333333334)</f>
        <v/>
      </c>
      <c r="F235" s="11">
        <f>MAX(0,MIN(D235,1279.13-E235))</f>
        <v/>
      </c>
      <c r="G235" s="11">
        <f>MAX(0,D235-F235)</f>
        <v/>
      </c>
      <c r="H235" s="11">
        <f>H234+E235</f>
        <v/>
      </c>
      <c r="I235" s="11">
        <f>I234+F235</f>
        <v/>
      </c>
    </row>
    <row r="236">
      <c r="A236" s="34" t="n">
        <v>44</v>
      </c>
      <c r="B236" s="34" t="inlineStr">
        <is>
          <t>Jul</t>
        </is>
      </c>
      <c r="C236" s="34" t="inlineStr">
        <is>
          <t>2029-07-30</t>
        </is>
      </c>
      <c r="D236" s="11">
        <f>G235</f>
        <v/>
      </c>
      <c r="E236" s="11">
        <f>MAX(0,D236*0.008958333333333334)</f>
        <v/>
      </c>
      <c r="F236" s="11">
        <f>MAX(0,MIN(D236,1279.13-E236))</f>
        <v/>
      </c>
      <c r="G236" s="11">
        <f>MAX(0,D236-F236)</f>
        <v/>
      </c>
      <c r="H236" s="11">
        <f>H235+E236</f>
        <v/>
      </c>
      <c r="I236" s="11">
        <f>I235+F236</f>
        <v/>
      </c>
    </row>
    <row r="237">
      <c r="A237" s="34" t="n">
        <v>45</v>
      </c>
      <c r="B237" s="34" t="inlineStr">
        <is>
          <t>Aug</t>
        </is>
      </c>
      <c r="C237" s="34" t="inlineStr">
        <is>
          <t>2029-08-30</t>
        </is>
      </c>
      <c r="D237" s="11">
        <f>G236</f>
        <v/>
      </c>
      <c r="E237" s="11">
        <f>MAX(0,D237*0.008958333333333334)</f>
        <v/>
      </c>
      <c r="F237" s="11">
        <f>MAX(0,MIN(D237,1279.13-E237))</f>
        <v/>
      </c>
      <c r="G237" s="11">
        <f>MAX(0,D237-F237)</f>
        <v/>
      </c>
      <c r="H237" s="11">
        <f>H236+E237</f>
        <v/>
      </c>
      <c r="I237" s="11">
        <f>I236+F237</f>
        <v/>
      </c>
    </row>
    <row r="238">
      <c r="A238" s="34" t="n">
        <v>46</v>
      </c>
      <c r="B238" s="34" t="inlineStr">
        <is>
          <t>Sep</t>
        </is>
      </c>
      <c r="C238" s="34" t="inlineStr">
        <is>
          <t>2029-09-30</t>
        </is>
      </c>
      <c r="D238" s="11">
        <f>G237</f>
        <v/>
      </c>
      <c r="E238" s="11">
        <f>MAX(0,D238*0.008958333333333334)</f>
        <v/>
      </c>
      <c r="F238" s="11">
        <f>MAX(0,MIN(D238,1279.13-E238))</f>
        <v/>
      </c>
      <c r="G238" s="11">
        <f>MAX(0,D238-F238)</f>
        <v/>
      </c>
      <c r="H238" s="11">
        <f>H237+E238</f>
        <v/>
      </c>
      <c r="I238" s="11">
        <f>I237+F238</f>
        <v/>
      </c>
    </row>
    <row r="239">
      <c r="A239" s="34" t="n">
        <v>47</v>
      </c>
      <c r="B239" s="34" t="inlineStr">
        <is>
          <t>Oct</t>
        </is>
      </c>
      <c r="C239" s="34" t="inlineStr">
        <is>
          <t>2029-10-30</t>
        </is>
      </c>
      <c r="D239" s="11">
        <f>G238</f>
        <v/>
      </c>
      <c r="E239" s="11">
        <f>MAX(0,D239*0.008958333333333334)</f>
        <v/>
      </c>
      <c r="F239" s="11">
        <f>MAX(0,MIN(D239,1279.13-E239))</f>
        <v/>
      </c>
      <c r="G239" s="11">
        <f>MAX(0,D239-F239)</f>
        <v/>
      </c>
      <c r="H239" s="11">
        <f>H238+E239</f>
        <v/>
      </c>
      <c r="I239" s="11">
        <f>I238+F239</f>
        <v/>
      </c>
    </row>
    <row r="240">
      <c r="A240" s="34" t="n">
        <v>48</v>
      </c>
      <c r="B240" s="34" t="inlineStr">
        <is>
          <t>Nov</t>
        </is>
      </c>
      <c r="C240" s="34" t="inlineStr">
        <is>
          <t>2029-11-30</t>
        </is>
      </c>
      <c r="D240" s="11">
        <f>G239</f>
        <v/>
      </c>
      <c r="E240" s="11">
        <f>MAX(0,D240*0.008958333333333334)</f>
        <v/>
      </c>
      <c r="F240" s="11">
        <f>MAX(0,MIN(D240,1279.13-E240))</f>
        <v/>
      </c>
      <c r="G240" s="11">
        <f>MAX(0,D240-F240)</f>
        <v/>
      </c>
      <c r="H240" s="11">
        <f>H239+E240</f>
        <v/>
      </c>
      <c r="I240" s="11">
        <f>I239+F240</f>
        <v/>
      </c>
    </row>
    <row r="241">
      <c r="A241" s="34" t="n">
        <v>49</v>
      </c>
      <c r="B241" s="34" t="inlineStr">
        <is>
          <t>Dec</t>
        </is>
      </c>
      <c r="C241" s="34" t="inlineStr">
        <is>
          <t>2029-12-30</t>
        </is>
      </c>
      <c r="D241" s="11">
        <f>G240</f>
        <v/>
      </c>
      <c r="E241" s="11">
        <f>MAX(0,D241*0.008958333333333334)</f>
        <v/>
      </c>
      <c r="F241" s="11">
        <f>MAX(0,MIN(D241,1279.13-E241))</f>
        <v/>
      </c>
      <c r="G241" s="11">
        <f>MAX(0,D241-F241)</f>
        <v/>
      </c>
      <c r="H241" s="11">
        <f>H240+E241</f>
        <v/>
      </c>
      <c r="I241" s="11">
        <f>I240+F241</f>
        <v/>
      </c>
    </row>
    <row r="242">
      <c r="A242" s="34" t="n">
        <v>50</v>
      </c>
      <c r="B242" s="34" t="inlineStr">
        <is>
          <t>Jan</t>
        </is>
      </c>
      <c r="C242" s="34" t="inlineStr">
        <is>
          <t>2030-01-30</t>
        </is>
      </c>
      <c r="D242" s="11">
        <f>G241</f>
        <v/>
      </c>
      <c r="E242" s="11">
        <f>MAX(0,D242*0.008958333333333334)</f>
        <v/>
      </c>
      <c r="F242" s="11">
        <f>MAX(0,MIN(D242,1279.13-E242))</f>
        <v/>
      </c>
      <c r="G242" s="11">
        <f>MAX(0,D242-F242)</f>
        <v/>
      </c>
      <c r="H242" s="11">
        <f>H241+E242</f>
        <v/>
      </c>
      <c r="I242" s="11">
        <f>I241+F242</f>
        <v/>
      </c>
    </row>
    <row r="243">
      <c r="A243" s="34" t="n">
        <v>51</v>
      </c>
      <c r="B243" s="34" t="inlineStr">
        <is>
          <t>Feb</t>
        </is>
      </c>
      <c r="C243" s="34" t="inlineStr">
        <is>
          <t>2030-02-28</t>
        </is>
      </c>
      <c r="D243" s="11">
        <f>G242</f>
        <v/>
      </c>
      <c r="E243" s="11">
        <f>MAX(0,D243*0.008958333333333334)</f>
        <v/>
      </c>
      <c r="F243" s="11">
        <f>MAX(0,MIN(D243,1279.13-E243))</f>
        <v/>
      </c>
      <c r="G243" s="11">
        <f>MAX(0,D243-F243)</f>
        <v/>
      </c>
      <c r="H243" s="11">
        <f>H242+E243</f>
        <v/>
      </c>
      <c r="I243" s="11">
        <f>I242+F243</f>
        <v/>
      </c>
    </row>
    <row r="244">
      <c r="A244" s="34" t="n">
        <v>52</v>
      </c>
      <c r="B244" s="34" t="inlineStr">
        <is>
          <t>Mar</t>
        </is>
      </c>
      <c r="C244" s="34" t="inlineStr">
        <is>
          <t>2030-03-30</t>
        </is>
      </c>
      <c r="D244" s="11">
        <f>G243</f>
        <v/>
      </c>
      <c r="E244" s="11">
        <f>MAX(0,D244*0.008958333333333334)</f>
        <v/>
      </c>
      <c r="F244" s="11">
        <f>MAX(0,MIN(D244,1279.13-E244))</f>
        <v/>
      </c>
      <c r="G244" s="11">
        <f>MAX(0,D244-F244)</f>
        <v/>
      </c>
      <c r="H244" s="11">
        <f>H243+E244</f>
        <v/>
      </c>
      <c r="I244" s="11">
        <f>I243+F244</f>
        <v/>
      </c>
    </row>
    <row r="245">
      <c r="A245" s="34" t="n">
        <v>53</v>
      </c>
      <c r="B245" s="34" t="inlineStr">
        <is>
          <t>Apr</t>
        </is>
      </c>
      <c r="C245" s="34" t="inlineStr">
        <is>
          <t>2030-04-30</t>
        </is>
      </c>
      <c r="D245" s="11">
        <f>G244</f>
        <v/>
      </c>
      <c r="E245" s="11">
        <f>MAX(0,D245*0.008958333333333334)</f>
        <v/>
      </c>
      <c r="F245" s="11">
        <f>MAX(0,MIN(D245,1279.13-E245))</f>
        <v/>
      </c>
      <c r="G245" s="11">
        <f>MAX(0,D245-F245)</f>
        <v/>
      </c>
      <c r="H245" s="11">
        <f>H244+E245</f>
        <v/>
      </c>
      <c r="I245" s="11">
        <f>I244+F245</f>
        <v/>
      </c>
    </row>
    <row r="246">
      <c r="A246" s="34" t="n">
        <v>54</v>
      </c>
      <c r="B246" s="34" t="inlineStr">
        <is>
          <t>May</t>
        </is>
      </c>
      <c r="C246" s="34" t="inlineStr">
        <is>
          <t>2030-05-30</t>
        </is>
      </c>
      <c r="D246" s="11">
        <f>G245</f>
        <v/>
      </c>
      <c r="E246" s="11">
        <f>MAX(0,D246*0.008958333333333334)</f>
        <v/>
      </c>
      <c r="F246" s="11">
        <f>MAX(0,MIN(D246,1279.13-E246))</f>
        <v/>
      </c>
      <c r="G246" s="11">
        <f>MAX(0,D246-F246)</f>
        <v/>
      </c>
      <c r="H246" s="11">
        <f>H245+E246</f>
        <v/>
      </c>
      <c r="I246" s="11">
        <f>I245+F246</f>
        <v/>
      </c>
    </row>
    <row r="247">
      <c r="A247" s="34" t="n">
        <v>55</v>
      </c>
      <c r="B247" s="34" t="inlineStr">
        <is>
          <t>Jun</t>
        </is>
      </c>
      <c r="C247" s="34" t="inlineStr">
        <is>
          <t>2030-06-30</t>
        </is>
      </c>
      <c r="D247" s="11">
        <f>G246</f>
        <v/>
      </c>
      <c r="E247" s="11">
        <f>MAX(0,D247*0.008958333333333334)</f>
        <v/>
      </c>
      <c r="F247" s="11">
        <f>MAX(0,MIN(D247,1279.13-E247))</f>
        <v/>
      </c>
      <c r="G247" s="11">
        <f>MAX(0,D247-F247)</f>
        <v/>
      </c>
      <c r="H247" s="11">
        <f>H246+E247</f>
        <v/>
      </c>
      <c r="I247" s="11">
        <f>I246+F247</f>
        <v/>
      </c>
    </row>
    <row r="248">
      <c r="A248" s="34" t="n">
        <v>56</v>
      </c>
      <c r="B248" s="34" t="inlineStr">
        <is>
          <t>Jul</t>
        </is>
      </c>
      <c r="C248" s="34" t="inlineStr">
        <is>
          <t>2030-07-30</t>
        </is>
      </c>
      <c r="D248" s="11">
        <f>G247</f>
        <v/>
      </c>
      <c r="E248" s="11">
        <f>MAX(0,D248*0.008958333333333334)</f>
        <v/>
      </c>
      <c r="F248" s="11">
        <f>MAX(0,MIN(D248,1279.13-E248))</f>
        <v/>
      </c>
      <c r="G248" s="11">
        <f>MAX(0,D248-F248)</f>
        <v/>
      </c>
      <c r="H248" s="11">
        <f>H247+E248</f>
        <v/>
      </c>
      <c r="I248" s="11">
        <f>I247+F248</f>
        <v/>
      </c>
    </row>
    <row r="249">
      <c r="A249" s="34" t="n">
        <v>57</v>
      </c>
      <c r="B249" s="34" t="inlineStr">
        <is>
          <t>Aug</t>
        </is>
      </c>
      <c r="C249" s="34" t="inlineStr">
        <is>
          <t>2030-08-30</t>
        </is>
      </c>
      <c r="D249" s="11">
        <f>G248</f>
        <v/>
      </c>
      <c r="E249" s="11">
        <f>MAX(0,D249*0.008958333333333334)</f>
        <v/>
      </c>
      <c r="F249" s="11">
        <f>MAX(0,MIN(D249,1279.13-E249))</f>
        <v/>
      </c>
      <c r="G249" s="11">
        <f>MAX(0,D249-F249)</f>
        <v/>
      </c>
      <c r="H249" s="11">
        <f>H248+E249</f>
        <v/>
      </c>
      <c r="I249" s="11">
        <f>I248+F249</f>
        <v/>
      </c>
    </row>
    <row r="250">
      <c r="A250" s="34" t="n">
        <v>58</v>
      </c>
      <c r="B250" s="34" t="inlineStr">
        <is>
          <t>Sep</t>
        </is>
      </c>
      <c r="C250" s="34" t="inlineStr">
        <is>
          <t>2030-09-30</t>
        </is>
      </c>
      <c r="D250" s="11">
        <f>G249</f>
        <v/>
      </c>
      <c r="E250" s="11">
        <f>MAX(0,D250*0.008958333333333334)</f>
        <v/>
      </c>
      <c r="F250" s="11">
        <f>MAX(0,MIN(D250,1279.13-E250))</f>
        <v/>
      </c>
      <c r="G250" s="11">
        <f>MAX(0,D250-F250)</f>
        <v/>
      </c>
      <c r="H250" s="11">
        <f>H249+E250</f>
        <v/>
      </c>
      <c r="I250" s="11">
        <f>I249+F250</f>
        <v/>
      </c>
    </row>
    <row r="251">
      <c r="A251" s="34" t="n">
        <v>59</v>
      </c>
      <c r="B251" s="34" t="inlineStr">
        <is>
          <t>Oct</t>
        </is>
      </c>
      <c r="C251" s="34" t="inlineStr">
        <is>
          <t>2030-10-30</t>
        </is>
      </c>
      <c r="D251" s="11">
        <f>G250</f>
        <v/>
      </c>
      <c r="E251" s="11">
        <f>MAX(0,D251*0.008958333333333334)</f>
        <v/>
      </c>
      <c r="F251" s="11">
        <f>MAX(0,MIN(D251,1279.13-E251))</f>
        <v/>
      </c>
      <c r="G251" s="11">
        <f>MAX(0,D251-F251)</f>
        <v/>
      </c>
      <c r="H251" s="11">
        <f>H250+E251</f>
        <v/>
      </c>
      <c r="I251" s="11">
        <f>I250+F251</f>
        <v/>
      </c>
    </row>
    <row r="252">
      <c r="A252" s="34" t="n">
        <v>60</v>
      </c>
      <c r="B252" s="34" t="inlineStr">
        <is>
          <t>Nov</t>
        </is>
      </c>
      <c r="C252" s="34" t="inlineStr">
        <is>
          <t>2030-11-30</t>
        </is>
      </c>
      <c r="D252" s="11">
        <f>G251</f>
        <v/>
      </c>
      <c r="E252" s="11">
        <f>MAX(0,D252*0.008958333333333334)</f>
        <v/>
      </c>
      <c r="F252" s="11">
        <f>MAX(0,MIN(D252,1279.13-E252))</f>
        <v/>
      </c>
      <c r="G252" s="11">
        <f>MAX(0,D252-F252)</f>
        <v/>
      </c>
      <c r="H252" s="11">
        <f>H251+E252</f>
        <v/>
      </c>
      <c r="I252" s="11">
        <f>I251+F252</f>
        <v/>
      </c>
    </row>
    <row r="253">
      <c r="A253" s="34" t="n">
        <v>61</v>
      </c>
      <c r="B253" s="34" t="inlineStr">
        <is>
          <t>Dec</t>
        </is>
      </c>
      <c r="C253" s="34" t="inlineStr">
        <is>
          <t>2030-12-30</t>
        </is>
      </c>
      <c r="D253" s="11">
        <f>G252</f>
        <v/>
      </c>
      <c r="E253" s="11">
        <f>MAX(0,D253*0.008958333333333334)</f>
        <v/>
      </c>
      <c r="F253" s="11">
        <f>MAX(0,MIN(D253,1279.13-E253))</f>
        <v/>
      </c>
      <c r="G253" s="11">
        <f>MAX(0,D253-F253)</f>
        <v/>
      </c>
      <c r="H253" s="11">
        <f>H252+E253</f>
        <v/>
      </c>
      <c r="I253" s="11">
        <f>I252+F253</f>
        <v/>
      </c>
    </row>
    <row r="254">
      <c r="A254" s="34" t="n">
        <v>62</v>
      </c>
      <c r="B254" s="34" t="inlineStr">
        <is>
          <t>Jan</t>
        </is>
      </c>
      <c r="C254" s="34" t="inlineStr">
        <is>
          <t>2031-01-30</t>
        </is>
      </c>
      <c r="D254" s="11">
        <f>G253</f>
        <v/>
      </c>
      <c r="E254" s="11">
        <f>MAX(0,D254*0.008958333333333334)</f>
        <v/>
      </c>
      <c r="F254" s="11">
        <f>MAX(0,MIN(D254,1279.13-E254))</f>
        <v/>
      </c>
      <c r="G254" s="11">
        <f>MAX(0,D254-F254)</f>
        <v/>
      </c>
      <c r="H254" s="11">
        <f>H253+E254</f>
        <v/>
      </c>
      <c r="I254" s="11">
        <f>I253+F254</f>
        <v/>
      </c>
    </row>
    <row r="255">
      <c r="A255" s="34" t="n">
        <v>63</v>
      </c>
      <c r="B255" s="34" t="inlineStr">
        <is>
          <t>Feb</t>
        </is>
      </c>
      <c r="C255" s="34" t="inlineStr">
        <is>
          <t>2031-02-28</t>
        </is>
      </c>
      <c r="D255" s="11">
        <f>G254</f>
        <v/>
      </c>
      <c r="E255" s="11">
        <f>MAX(0,D255*0.008958333333333334)</f>
        <v/>
      </c>
      <c r="F255" s="11">
        <f>MAX(0,MIN(D255,1279.13-E255))</f>
        <v/>
      </c>
      <c r="G255" s="11">
        <f>MAX(0,D255-F255)</f>
        <v/>
      </c>
      <c r="H255" s="11">
        <f>H254+E255</f>
        <v/>
      </c>
      <c r="I255" s="11">
        <f>I254+F255</f>
        <v/>
      </c>
    </row>
    <row r="256">
      <c r="A256" s="34" t="n">
        <v>64</v>
      </c>
      <c r="B256" s="34" t="inlineStr">
        <is>
          <t>Mar</t>
        </is>
      </c>
      <c r="C256" s="34" t="inlineStr">
        <is>
          <t>2031-03-30</t>
        </is>
      </c>
      <c r="D256" s="11">
        <f>G255</f>
        <v/>
      </c>
      <c r="E256" s="11">
        <f>MAX(0,D256*0.008958333333333334)</f>
        <v/>
      </c>
      <c r="F256" s="11">
        <f>MAX(0,MIN(D256,1279.13-E256))</f>
        <v/>
      </c>
      <c r="G256" s="11">
        <f>MAX(0,D256-F256)</f>
        <v/>
      </c>
      <c r="H256" s="11">
        <f>H255+E256</f>
        <v/>
      </c>
      <c r="I256" s="11">
        <f>I255+F256</f>
        <v/>
      </c>
    </row>
    <row r="257">
      <c r="A257" s="34" t="n">
        <v>65</v>
      </c>
      <c r="B257" s="34" t="inlineStr">
        <is>
          <t>Apr</t>
        </is>
      </c>
      <c r="C257" s="34" t="inlineStr">
        <is>
          <t>2031-04-30</t>
        </is>
      </c>
      <c r="D257" s="11">
        <f>G256</f>
        <v/>
      </c>
      <c r="E257" s="11">
        <f>MAX(0,D257*0.008958333333333334)</f>
        <v/>
      </c>
      <c r="F257" s="11">
        <f>MAX(0,MIN(D257,1279.13-E257))</f>
        <v/>
      </c>
      <c r="G257" s="11">
        <f>MAX(0,D257-F257)</f>
        <v/>
      </c>
      <c r="H257" s="11">
        <f>H256+E257</f>
        <v/>
      </c>
      <c r="I257" s="11">
        <f>I256+F257</f>
        <v/>
      </c>
    </row>
    <row r="258">
      <c r="A258" s="34" t="n">
        <v>66</v>
      </c>
      <c r="B258" s="34" t="inlineStr">
        <is>
          <t>May</t>
        </is>
      </c>
      <c r="C258" s="34" t="inlineStr">
        <is>
          <t>2031-05-30</t>
        </is>
      </c>
      <c r="D258" s="11">
        <f>G257</f>
        <v/>
      </c>
      <c r="E258" s="11">
        <f>MAX(0,D258*0.008958333333333334)</f>
        <v/>
      </c>
      <c r="F258" s="11">
        <f>MAX(0,MIN(D258,1279.13-E258))</f>
        <v/>
      </c>
      <c r="G258" s="11">
        <f>MAX(0,D258-F258)</f>
        <v/>
      </c>
      <c r="H258" s="11">
        <f>H257+E258</f>
        <v/>
      </c>
      <c r="I258" s="11">
        <f>I257+F258</f>
        <v/>
      </c>
    </row>
    <row r="259">
      <c r="A259" s="34" t="n">
        <v>67</v>
      </c>
      <c r="B259" s="34" t="inlineStr">
        <is>
          <t>Jun</t>
        </is>
      </c>
      <c r="C259" s="34" t="inlineStr">
        <is>
          <t>2031-06-30</t>
        </is>
      </c>
      <c r="D259" s="11">
        <f>G258</f>
        <v/>
      </c>
      <c r="E259" s="11">
        <f>MAX(0,D259*0.008958333333333334)</f>
        <v/>
      </c>
      <c r="F259" s="11">
        <f>MAX(0,MIN(D259,1279.13-E259))</f>
        <v/>
      </c>
      <c r="G259" s="11">
        <f>MAX(0,D259-F259)</f>
        <v/>
      </c>
      <c r="H259" s="11">
        <f>H258+E259</f>
        <v/>
      </c>
      <c r="I259" s="11">
        <f>I258+F259</f>
        <v/>
      </c>
    </row>
    <row r="260">
      <c r="A260" s="34" t="n">
        <v>68</v>
      </c>
      <c r="B260" s="34" t="inlineStr">
        <is>
          <t>Jul</t>
        </is>
      </c>
      <c r="C260" s="34" t="inlineStr">
        <is>
          <t>2031-07-30</t>
        </is>
      </c>
      <c r="D260" s="11">
        <f>G259</f>
        <v/>
      </c>
      <c r="E260" s="11">
        <f>MAX(0,D260*0.008958333333333334)</f>
        <v/>
      </c>
      <c r="F260" s="11">
        <f>MAX(0,MIN(D260,1279.13-E260))</f>
        <v/>
      </c>
      <c r="G260" s="11">
        <f>MAX(0,D260-F260)</f>
        <v/>
      </c>
      <c r="H260" s="11">
        <f>H259+E260</f>
        <v/>
      </c>
      <c r="I260" s="11">
        <f>I259+F260</f>
        <v/>
      </c>
    </row>
    <row r="261">
      <c r="A261" s="34" t="n">
        <v>69</v>
      </c>
      <c r="B261" s="34" t="inlineStr">
        <is>
          <t>Aug</t>
        </is>
      </c>
      <c r="C261" s="34" t="inlineStr">
        <is>
          <t>2031-08-30</t>
        </is>
      </c>
      <c r="D261" s="11">
        <f>G260</f>
        <v/>
      </c>
      <c r="E261" s="11">
        <f>MAX(0,D261*0.008958333333333334)</f>
        <v/>
      </c>
      <c r="F261" s="11">
        <f>MAX(0,MIN(D261,1279.13-E261))</f>
        <v/>
      </c>
      <c r="G261" s="11">
        <f>MAX(0,D261-F261)</f>
        <v/>
      </c>
      <c r="H261" s="11">
        <f>H260+E261</f>
        <v/>
      </c>
      <c r="I261" s="11">
        <f>I260+F261</f>
        <v/>
      </c>
    </row>
    <row r="262">
      <c r="A262" s="34" t="n">
        <v>70</v>
      </c>
      <c r="B262" s="34" t="inlineStr">
        <is>
          <t>Sep</t>
        </is>
      </c>
      <c r="C262" s="34" t="inlineStr">
        <is>
          <t>2031-09-30</t>
        </is>
      </c>
      <c r="D262" s="11">
        <f>G261</f>
        <v/>
      </c>
      <c r="E262" s="11">
        <f>MAX(0,D262*0.008958333333333334)</f>
        <v/>
      </c>
      <c r="F262" s="11">
        <f>MAX(0,MIN(D262,1279.13-E262))</f>
        <v/>
      </c>
      <c r="G262" s="11">
        <f>MAX(0,D262-F262)</f>
        <v/>
      </c>
      <c r="H262" s="11">
        <f>H261+E262</f>
        <v/>
      </c>
      <c r="I262" s="11">
        <f>I261+F262</f>
        <v/>
      </c>
    </row>
    <row r="263">
      <c r="A263" s="73" t="n"/>
      <c r="B263" s="74" t="inlineStr">
        <is>
          <t>TOTAL</t>
        </is>
      </c>
      <c r="C263" s="73" t="n"/>
      <c r="D263" s="73" t="n"/>
      <c r="E263" s="77">
        <f>SUM(E193:E262)</f>
        <v/>
      </c>
      <c r="F263" s="77">
        <f>SUM(F193:F262)</f>
        <v/>
      </c>
      <c r="G263" s="73" t="n"/>
      <c r="H263" s="73" t="n"/>
      <c r="I263" s="73" t="n"/>
    </row>
    <row r="266">
      <c r="A266" s="39" t="inlineStr">
        <is>
          <t>LOAN 4: DAIMLER TRUCK FINANCIAL</t>
        </is>
      </c>
    </row>
    <row r="267">
      <c r="B267" s="20" t="inlineStr">
        <is>
          <t>Loan ID</t>
        </is>
      </c>
      <c r="C267" t="inlineStr">
        <is>
          <t>02-2902-000-080-00</t>
        </is>
      </c>
    </row>
    <row r="268">
      <c r="B268" s="20" t="inlineStr">
        <is>
          <t>Account #</t>
        </is>
      </c>
      <c r="C268" t="inlineStr">
        <is>
          <t>377553</t>
        </is>
      </c>
    </row>
    <row r="269">
      <c r="B269" s="20" t="inlineStr">
        <is>
          <t>Description</t>
        </is>
      </c>
      <c r="C269" t="inlineStr">
        <is>
          <t>2 Kenworth W900L 2022 (Oct 2025)</t>
        </is>
      </c>
    </row>
    <row r="270">
      <c r="B270" s="20" t="inlineStr">
        <is>
          <t>Origination Date</t>
        </is>
      </c>
      <c r="C270" t="inlineStr">
        <is>
          <t>2025-10-04</t>
        </is>
      </c>
    </row>
    <row r="271">
      <c r="B271" s="20" t="inlineStr">
        <is>
          <t>Maturity Date</t>
        </is>
      </c>
      <c r="C271" t="inlineStr">
        <is>
          <t>2029-09-04</t>
        </is>
      </c>
    </row>
    <row r="272">
      <c r="B272" s="20" t="inlineStr">
        <is>
          <t>Opening Balance</t>
        </is>
      </c>
      <c r="C272" s="3" t="n">
        <v>241972.52</v>
      </c>
    </row>
    <row r="273">
      <c r="B273" s="20" t="inlineStr">
        <is>
          <t>Remaining Balance (Nov 2025)</t>
        </is>
      </c>
      <c r="C273" s="3" t="n">
        <v>234189</v>
      </c>
    </row>
    <row r="274">
      <c r="B274" s="20" t="inlineStr">
        <is>
          <t>Annual Interest Rate</t>
        </is>
      </c>
      <c r="C274" t="inlineStr">
        <is>
          <t>12.99%</t>
        </is>
      </c>
    </row>
    <row r="275">
      <c r="B275" s="20" t="inlineStr">
        <is>
          <t>Monthly Payment</t>
        </is>
      </c>
      <c r="C275" s="3" t="n">
        <v>6523.75</v>
      </c>
    </row>
    <row r="276">
      <c r="B276" s="20" t="inlineStr">
        <is>
          <t>Loan Type</t>
        </is>
      </c>
      <c r="C276" t="inlineStr">
        <is>
          <t>AMORTIZING</t>
        </is>
      </c>
    </row>
    <row r="277">
      <c r="B277" s="20" t="inlineStr">
        <is>
          <t>Use</t>
        </is>
      </c>
      <c r="C277" t="inlineStr">
        <is>
          <t>Equipment (Semi trucks)</t>
        </is>
      </c>
    </row>
    <row r="278">
      <c r="B278" s="20" t="inlineStr">
        <is>
          <t>Source</t>
        </is>
      </c>
      <c r="C278" t="inlineStr">
        <is>
          <t>Meiborg_Debt_Schedule_202511.xlsx</t>
        </is>
      </c>
    </row>
    <row r="280">
      <c r="A280" s="76" t="inlineStr">
        <is>
          <t>AMORTIZATION SCHEDULE</t>
        </is>
      </c>
    </row>
    <row r="281">
      <c r="A281" s="71" t="inlineStr">
        <is>
          <t>#</t>
        </is>
      </c>
      <c r="B281" s="71" t="inlineStr">
        <is>
          <t>Month</t>
        </is>
      </c>
      <c r="C281" s="71" t="inlineStr">
        <is>
          <t>Date</t>
        </is>
      </c>
      <c r="D281" s="71" t="inlineStr">
        <is>
          <t>Opening</t>
        </is>
      </c>
      <c r="E281" s="71" t="inlineStr">
        <is>
          <t>Interest</t>
        </is>
      </c>
      <c r="F281" s="71" t="inlineStr">
        <is>
          <t>Principal</t>
        </is>
      </c>
      <c r="G281" s="71" t="inlineStr">
        <is>
          <t>Closing</t>
        </is>
      </c>
      <c r="H281" s="71" t="inlineStr">
        <is>
          <t>Cum Int</t>
        </is>
      </c>
      <c r="I281" s="71" t="inlineStr">
        <is>
          <t>Cum Prin</t>
        </is>
      </c>
    </row>
    <row r="282">
      <c r="A282" s="34" t="n">
        <v>1</v>
      </c>
      <c r="B282" s="34" t="inlineStr">
        <is>
          <t>Dec</t>
        </is>
      </c>
      <c r="C282" s="34" t="inlineStr">
        <is>
          <t>2025-12-30</t>
        </is>
      </c>
      <c r="D282" s="11" t="n">
        <v>234189</v>
      </c>
      <c r="E282" s="11">
        <f>MAX(0,D282*0.010825000000000001)</f>
        <v/>
      </c>
      <c r="F282" s="11">
        <f>MAX(0,MIN(D282,6523.75-E282))</f>
        <v/>
      </c>
      <c r="G282" s="11">
        <f>MAX(0,D282-F282)</f>
        <v/>
      </c>
      <c r="H282" s="11">
        <f>E282</f>
        <v/>
      </c>
      <c r="I282" s="11">
        <f>F282</f>
        <v/>
      </c>
    </row>
    <row r="283">
      <c r="A283" s="34" t="n">
        <v>2</v>
      </c>
      <c r="B283" s="34" t="inlineStr">
        <is>
          <t>Jan</t>
        </is>
      </c>
      <c r="C283" s="34" t="inlineStr">
        <is>
          <t>2026-01-30</t>
        </is>
      </c>
      <c r="D283" s="11">
        <f>G282</f>
        <v/>
      </c>
      <c r="E283" s="11">
        <f>MAX(0,D283*0.010825000000000001)</f>
        <v/>
      </c>
      <c r="F283" s="11">
        <f>MAX(0,MIN(D283,6523.75-E283))</f>
        <v/>
      </c>
      <c r="G283" s="11">
        <f>MAX(0,D283-F283)</f>
        <v/>
      </c>
      <c r="H283" s="11">
        <f>H282+E283</f>
        <v/>
      </c>
      <c r="I283" s="11">
        <f>I282+F283</f>
        <v/>
      </c>
    </row>
    <row r="284">
      <c r="A284" s="34" t="n">
        <v>3</v>
      </c>
      <c r="B284" s="34" t="inlineStr">
        <is>
          <t>Feb</t>
        </is>
      </c>
      <c r="C284" s="34" t="inlineStr">
        <is>
          <t>2026-02-28</t>
        </is>
      </c>
      <c r="D284" s="11">
        <f>G283</f>
        <v/>
      </c>
      <c r="E284" s="11">
        <f>MAX(0,D284*0.010825000000000001)</f>
        <v/>
      </c>
      <c r="F284" s="11">
        <f>MAX(0,MIN(D284,6523.75-E284))</f>
        <v/>
      </c>
      <c r="G284" s="11">
        <f>MAX(0,D284-F284)</f>
        <v/>
      </c>
      <c r="H284" s="11">
        <f>H283+E284</f>
        <v/>
      </c>
      <c r="I284" s="11">
        <f>I283+F284</f>
        <v/>
      </c>
    </row>
    <row r="285">
      <c r="A285" s="34" t="n">
        <v>4</v>
      </c>
      <c r="B285" s="34" t="inlineStr">
        <is>
          <t>Mar</t>
        </is>
      </c>
      <c r="C285" s="34" t="inlineStr">
        <is>
          <t>2026-03-30</t>
        </is>
      </c>
      <c r="D285" s="11">
        <f>G284</f>
        <v/>
      </c>
      <c r="E285" s="11">
        <f>MAX(0,D285*0.010825000000000001)</f>
        <v/>
      </c>
      <c r="F285" s="11">
        <f>MAX(0,MIN(D285,6523.75-E285))</f>
        <v/>
      </c>
      <c r="G285" s="11">
        <f>MAX(0,D285-F285)</f>
        <v/>
      </c>
      <c r="H285" s="11">
        <f>H284+E285</f>
        <v/>
      </c>
      <c r="I285" s="11">
        <f>I284+F285</f>
        <v/>
      </c>
    </row>
    <row r="286">
      <c r="A286" s="34" t="n">
        <v>5</v>
      </c>
      <c r="B286" s="34" t="inlineStr">
        <is>
          <t>Apr</t>
        </is>
      </c>
      <c r="C286" s="34" t="inlineStr">
        <is>
          <t>2026-04-30</t>
        </is>
      </c>
      <c r="D286" s="11">
        <f>G285</f>
        <v/>
      </c>
      <c r="E286" s="11">
        <f>MAX(0,D286*0.010825000000000001)</f>
        <v/>
      </c>
      <c r="F286" s="11">
        <f>MAX(0,MIN(D286,6523.75-E286))</f>
        <v/>
      </c>
      <c r="G286" s="11">
        <f>MAX(0,D286-F286)</f>
        <v/>
      </c>
      <c r="H286" s="11">
        <f>H285+E286</f>
        <v/>
      </c>
      <c r="I286" s="11">
        <f>I285+F286</f>
        <v/>
      </c>
    </row>
    <row r="287">
      <c r="A287" s="34" t="n">
        <v>6</v>
      </c>
      <c r="B287" s="34" t="inlineStr">
        <is>
          <t>May</t>
        </is>
      </c>
      <c r="C287" s="34" t="inlineStr">
        <is>
          <t>2026-05-30</t>
        </is>
      </c>
      <c r="D287" s="11">
        <f>G286</f>
        <v/>
      </c>
      <c r="E287" s="11">
        <f>MAX(0,D287*0.010825000000000001)</f>
        <v/>
      </c>
      <c r="F287" s="11">
        <f>MAX(0,MIN(D287,6523.75-E287))</f>
        <v/>
      </c>
      <c r="G287" s="11">
        <f>MAX(0,D287-F287)</f>
        <v/>
      </c>
      <c r="H287" s="11">
        <f>H286+E287</f>
        <v/>
      </c>
      <c r="I287" s="11">
        <f>I286+F287</f>
        <v/>
      </c>
    </row>
    <row r="288">
      <c r="A288" s="34" t="n">
        <v>7</v>
      </c>
      <c r="B288" s="34" t="inlineStr">
        <is>
          <t>Jun</t>
        </is>
      </c>
      <c r="C288" s="34" t="inlineStr">
        <is>
          <t>2026-06-30</t>
        </is>
      </c>
      <c r="D288" s="11">
        <f>G287</f>
        <v/>
      </c>
      <c r="E288" s="11">
        <f>MAX(0,D288*0.010825000000000001)</f>
        <v/>
      </c>
      <c r="F288" s="11">
        <f>MAX(0,MIN(D288,6523.75-E288))</f>
        <v/>
      </c>
      <c r="G288" s="11">
        <f>MAX(0,D288-F288)</f>
        <v/>
      </c>
      <c r="H288" s="11">
        <f>H287+E288</f>
        <v/>
      </c>
      <c r="I288" s="11">
        <f>I287+F288</f>
        <v/>
      </c>
    </row>
    <row r="289">
      <c r="A289" s="34" t="n">
        <v>8</v>
      </c>
      <c r="B289" s="34" t="inlineStr">
        <is>
          <t>Jul</t>
        </is>
      </c>
      <c r="C289" s="34" t="inlineStr">
        <is>
          <t>2026-07-30</t>
        </is>
      </c>
      <c r="D289" s="11">
        <f>G288</f>
        <v/>
      </c>
      <c r="E289" s="11">
        <f>MAX(0,D289*0.010825000000000001)</f>
        <v/>
      </c>
      <c r="F289" s="11">
        <f>MAX(0,MIN(D289,6523.75-E289))</f>
        <v/>
      </c>
      <c r="G289" s="11">
        <f>MAX(0,D289-F289)</f>
        <v/>
      </c>
      <c r="H289" s="11">
        <f>H288+E289</f>
        <v/>
      </c>
      <c r="I289" s="11">
        <f>I288+F289</f>
        <v/>
      </c>
    </row>
    <row r="290">
      <c r="A290" s="34" t="n">
        <v>9</v>
      </c>
      <c r="B290" s="34" t="inlineStr">
        <is>
          <t>Aug</t>
        </is>
      </c>
      <c r="C290" s="34" t="inlineStr">
        <is>
          <t>2026-08-30</t>
        </is>
      </c>
      <c r="D290" s="11">
        <f>G289</f>
        <v/>
      </c>
      <c r="E290" s="11">
        <f>MAX(0,D290*0.010825000000000001)</f>
        <v/>
      </c>
      <c r="F290" s="11">
        <f>MAX(0,MIN(D290,6523.75-E290))</f>
        <v/>
      </c>
      <c r="G290" s="11">
        <f>MAX(0,D290-F290)</f>
        <v/>
      </c>
      <c r="H290" s="11">
        <f>H289+E290</f>
        <v/>
      </c>
      <c r="I290" s="11">
        <f>I289+F290</f>
        <v/>
      </c>
    </row>
    <row r="291">
      <c r="A291" s="34" t="n">
        <v>10</v>
      </c>
      <c r="B291" s="34" t="inlineStr">
        <is>
          <t>Sep</t>
        </is>
      </c>
      <c r="C291" s="34" t="inlineStr">
        <is>
          <t>2026-09-30</t>
        </is>
      </c>
      <c r="D291" s="11">
        <f>G290</f>
        <v/>
      </c>
      <c r="E291" s="11">
        <f>MAX(0,D291*0.010825000000000001)</f>
        <v/>
      </c>
      <c r="F291" s="11">
        <f>MAX(0,MIN(D291,6523.75-E291))</f>
        <v/>
      </c>
      <c r="G291" s="11">
        <f>MAX(0,D291-F291)</f>
        <v/>
      </c>
      <c r="H291" s="11">
        <f>H290+E291</f>
        <v/>
      </c>
      <c r="I291" s="11">
        <f>I290+F291</f>
        <v/>
      </c>
    </row>
    <row r="292">
      <c r="A292" s="34" t="n">
        <v>11</v>
      </c>
      <c r="B292" s="34" t="inlineStr">
        <is>
          <t>Oct</t>
        </is>
      </c>
      <c r="C292" s="34" t="inlineStr">
        <is>
          <t>2026-10-30</t>
        </is>
      </c>
      <c r="D292" s="11">
        <f>G291</f>
        <v/>
      </c>
      <c r="E292" s="11">
        <f>MAX(0,D292*0.010825000000000001)</f>
        <v/>
      </c>
      <c r="F292" s="11">
        <f>MAX(0,MIN(D292,6523.75-E292))</f>
        <v/>
      </c>
      <c r="G292" s="11">
        <f>MAX(0,D292-F292)</f>
        <v/>
      </c>
      <c r="H292" s="11">
        <f>H291+E292</f>
        <v/>
      </c>
      <c r="I292" s="11">
        <f>I291+F292</f>
        <v/>
      </c>
    </row>
    <row r="293">
      <c r="A293" s="34" t="n">
        <v>12</v>
      </c>
      <c r="B293" s="34" t="inlineStr">
        <is>
          <t>Nov</t>
        </is>
      </c>
      <c r="C293" s="34" t="inlineStr">
        <is>
          <t>2026-11-30</t>
        </is>
      </c>
      <c r="D293" s="11">
        <f>G292</f>
        <v/>
      </c>
      <c r="E293" s="11">
        <f>MAX(0,D293*0.010825000000000001)</f>
        <v/>
      </c>
      <c r="F293" s="11">
        <f>MAX(0,MIN(D293,6523.75-E293))</f>
        <v/>
      </c>
      <c r="G293" s="11">
        <f>MAX(0,D293-F293)</f>
        <v/>
      </c>
      <c r="H293" s="11">
        <f>H292+E293</f>
        <v/>
      </c>
      <c r="I293" s="11">
        <f>I292+F293</f>
        <v/>
      </c>
    </row>
    <row r="294">
      <c r="A294" s="34" t="n">
        <v>13</v>
      </c>
      <c r="B294" s="34" t="inlineStr">
        <is>
          <t>Dec</t>
        </is>
      </c>
      <c r="C294" s="34" t="inlineStr">
        <is>
          <t>2026-12-30</t>
        </is>
      </c>
      <c r="D294" s="11">
        <f>G293</f>
        <v/>
      </c>
      <c r="E294" s="11">
        <f>MAX(0,D294*0.010825000000000001)</f>
        <v/>
      </c>
      <c r="F294" s="11">
        <f>MAX(0,MIN(D294,6523.75-E294))</f>
        <v/>
      </c>
      <c r="G294" s="11">
        <f>MAX(0,D294-F294)</f>
        <v/>
      </c>
      <c r="H294" s="11">
        <f>H293+E294</f>
        <v/>
      </c>
      <c r="I294" s="11">
        <f>I293+F294</f>
        <v/>
      </c>
    </row>
    <row r="295">
      <c r="A295" s="34" t="n">
        <v>14</v>
      </c>
      <c r="B295" s="34" t="inlineStr">
        <is>
          <t>Jan</t>
        </is>
      </c>
      <c r="C295" s="34" t="inlineStr">
        <is>
          <t>2027-01-30</t>
        </is>
      </c>
      <c r="D295" s="11">
        <f>G294</f>
        <v/>
      </c>
      <c r="E295" s="11">
        <f>MAX(0,D295*0.010825000000000001)</f>
        <v/>
      </c>
      <c r="F295" s="11">
        <f>MAX(0,MIN(D295,6523.75-E295))</f>
        <v/>
      </c>
      <c r="G295" s="11">
        <f>MAX(0,D295-F295)</f>
        <v/>
      </c>
      <c r="H295" s="11">
        <f>H294+E295</f>
        <v/>
      </c>
      <c r="I295" s="11">
        <f>I294+F295</f>
        <v/>
      </c>
    </row>
    <row r="296">
      <c r="A296" s="34" t="n">
        <v>15</v>
      </c>
      <c r="B296" s="34" t="inlineStr">
        <is>
          <t>Feb</t>
        </is>
      </c>
      <c r="C296" s="34" t="inlineStr">
        <is>
          <t>2027-02-28</t>
        </is>
      </c>
      <c r="D296" s="11">
        <f>G295</f>
        <v/>
      </c>
      <c r="E296" s="11">
        <f>MAX(0,D296*0.010825000000000001)</f>
        <v/>
      </c>
      <c r="F296" s="11">
        <f>MAX(0,MIN(D296,6523.75-E296))</f>
        <v/>
      </c>
      <c r="G296" s="11">
        <f>MAX(0,D296-F296)</f>
        <v/>
      </c>
      <c r="H296" s="11">
        <f>H295+E296</f>
        <v/>
      </c>
      <c r="I296" s="11">
        <f>I295+F296</f>
        <v/>
      </c>
    </row>
    <row r="297">
      <c r="A297" s="34" t="n">
        <v>16</v>
      </c>
      <c r="B297" s="34" t="inlineStr">
        <is>
          <t>Mar</t>
        </is>
      </c>
      <c r="C297" s="34" t="inlineStr">
        <is>
          <t>2027-03-30</t>
        </is>
      </c>
      <c r="D297" s="11">
        <f>G296</f>
        <v/>
      </c>
      <c r="E297" s="11">
        <f>MAX(0,D297*0.010825000000000001)</f>
        <v/>
      </c>
      <c r="F297" s="11">
        <f>MAX(0,MIN(D297,6523.75-E297))</f>
        <v/>
      </c>
      <c r="G297" s="11">
        <f>MAX(0,D297-F297)</f>
        <v/>
      </c>
      <c r="H297" s="11">
        <f>H296+E297</f>
        <v/>
      </c>
      <c r="I297" s="11">
        <f>I296+F297</f>
        <v/>
      </c>
    </row>
    <row r="298">
      <c r="A298" s="34" t="n">
        <v>17</v>
      </c>
      <c r="B298" s="34" t="inlineStr">
        <is>
          <t>Apr</t>
        </is>
      </c>
      <c r="C298" s="34" t="inlineStr">
        <is>
          <t>2027-04-30</t>
        </is>
      </c>
      <c r="D298" s="11">
        <f>G297</f>
        <v/>
      </c>
      <c r="E298" s="11">
        <f>MAX(0,D298*0.010825000000000001)</f>
        <v/>
      </c>
      <c r="F298" s="11">
        <f>MAX(0,MIN(D298,6523.75-E298))</f>
        <v/>
      </c>
      <c r="G298" s="11">
        <f>MAX(0,D298-F298)</f>
        <v/>
      </c>
      <c r="H298" s="11">
        <f>H297+E298</f>
        <v/>
      </c>
      <c r="I298" s="11">
        <f>I297+F298</f>
        <v/>
      </c>
    </row>
    <row r="299">
      <c r="A299" s="34" t="n">
        <v>18</v>
      </c>
      <c r="B299" s="34" t="inlineStr">
        <is>
          <t>May</t>
        </is>
      </c>
      <c r="C299" s="34" t="inlineStr">
        <is>
          <t>2027-05-30</t>
        </is>
      </c>
      <c r="D299" s="11">
        <f>G298</f>
        <v/>
      </c>
      <c r="E299" s="11">
        <f>MAX(0,D299*0.010825000000000001)</f>
        <v/>
      </c>
      <c r="F299" s="11">
        <f>MAX(0,MIN(D299,6523.75-E299))</f>
        <v/>
      </c>
      <c r="G299" s="11">
        <f>MAX(0,D299-F299)</f>
        <v/>
      </c>
      <c r="H299" s="11">
        <f>H298+E299</f>
        <v/>
      </c>
      <c r="I299" s="11">
        <f>I298+F299</f>
        <v/>
      </c>
    </row>
    <row r="300">
      <c r="A300" s="34" t="n">
        <v>19</v>
      </c>
      <c r="B300" s="34" t="inlineStr">
        <is>
          <t>Jun</t>
        </is>
      </c>
      <c r="C300" s="34" t="inlineStr">
        <is>
          <t>2027-06-30</t>
        </is>
      </c>
      <c r="D300" s="11">
        <f>G299</f>
        <v/>
      </c>
      <c r="E300" s="11">
        <f>MAX(0,D300*0.010825000000000001)</f>
        <v/>
      </c>
      <c r="F300" s="11">
        <f>MAX(0,MIN(D300,6523.75-E300))</f>
        <v/>
      </c>
      <c r="G300" s="11">
        <f>MAX(0,D300-F300)</f>
        <v/>
      </c>
      <c r="H300" s="11">
        <f>H299+E300</f>
        <v/>
      </c>
      <c r="I300" s="11">
        <f>I299+F300</f>
        <v/>
      </c>
    </row>
    <row r="301">
      <c r="A301" s="34" t="n">
        <v>20</v>
      </c>
      <c r="B301" s="34" t="inlineStr">
        <is>
          <t>Jul</t>
        </is>
      </c>
      <c r="C301" s="34" t="inlineStr">
        <is>
          <t>2027-07-30</t>
        </is>
      </c>
      <c r="D301" s="11">
        <f>G300</f>
        <v/>
      </c>
      <c r="E301" s="11">
        <f>MAX(0,D301*0.010825000000000001)</f>
        <v/>
      </c>
      <c r="F301" s="11">
        <f>MAX(0,MIN(D301,6523.75-E301))</f>
        <v/>
      </c>
      <c r="G301" s="11">
        <f>MAX(0,D301-F301)</f>
        <v/>
      </c>
      <c r="H301" s="11">
        <f>H300+E301</f>
        <v/>
      </c>
      <c r="I301" s="11">
        <f>I300+F301</f>
        <v/>
      </c>
    </row>
    <row r="302">
      <c r="A302" s="34" t="n">
        <v>21</v>
      </c>
      <c r="B302" s="34" t="inlineStr">
        <is>
          <t>Aug</t>
        </is>
      </c>
      <c r="C302" s="34" t="inlineStr">
        <is>
          <t>2027-08-30</t>
        </is>
      </c>
      <c r="D302" s="11">
        <f>G301</f>
        <v/>
      </c>
      <c r="E302" s="11">
        <f>MAX(0,D302*0.010825000000000001)</f>
        <v/>
      </c>
      <c r="F302" s="11">
        <f>MAX(0,MIN(D302,6523.75-E302))</f>
        <v/>
      </c>
      <c r="G302" s="11">
        <f>MAX(0,D302-F302)</f>
        <v/>
      </c>
      <c r="H302" s="11">
        <f>H301+E302</f>
        <v/>
      </c>
      <c r="I302" s="11">
        <f>I301+F302</f>
        <v/>
      </c>
    </row>
    <row r="303">
      <c r="A303" s="34" t="n">
        <v>22</v>
      </c>
      <c r="B303" s="34" t="inlineStr">
        <is>
          <t>Sep</t>
        </is>
      </c>
      <c r="C303" s="34" t="inlineStr">
        <is>
          <t>2027-09-30</t>
        </is>
      </c>
      <c r="D303" s="11">
        <f>G302</f>
        <v/>
      </c>
      <c r="E303" s="11">
        <f>MAX(0,D303*0.010825000000000001)</f>
        <v/>
      </c>
      <c r="F303" s="11">
        <f>MAX(0,MIN(D303,6523.75-E303))</f>
        <v/>
      </c>
      <c r="G303" s="11">
        <f>MAX(0,D303-F303)</f>
        <v/>
      </c>
      <c r="H303" s="11">
        <f>H302+E303</f>
        <v/>
      </c>
      <c r="I303" s="11">
        <f>I302+F303</f>
        <v/>
      </c>
    </row>
    <row r="304">
      <c r="A304" s="34" t="n">
        <v>23</v>
      </c>
      <c r="B304" s="34" t="inlineStr">
        <is>
          <t>Oct</t>
        </is>
      </c>
      <c r="C304" s="34" t="inlineStr">
        <is>
          <t>2027-10-30</t>
        </is>
      </c>
      <c r="D304" s="11">
        <f>G303</f>
        <v/>
      </c>
      <c r="E304" s="11">
        <f>MAX(0,D304*0.010825000000000001)</f>
        <v/>
      </c>
      <c r="F304" s="11">
        <f>MAX(0,MIN(D304,6523.75-E304))</f>
        <v/>
      </c>
      <c r="G304" s="11">
        <f>MAX(0,D304-F304)</f>
        <v/>
      </c>
      <c r="H304" s="11">
        <f>H303+E304</f>
        <v/>
      </c>
      <c r="I304" s="11">
        <f>I303+F304</f>
        <v/>
      </c>
    </row>
    <row r="305">
      <c r="A305" s="34" t="n">
        <v>24</v>
      </c>
      <c r="B305" s="34" t="inlineStr">
        <is>
          <t>Nov</t>
        </is>
      </c>
      <c r="C305" s="34" t="inlineStr">
        <is>
          <t>2027-11-30</t>
        </is>
      </c>
      <c r="D305" s="11">
        <f>G304</f>
        <v/>
      </c>
      <c r="E305" s="11">
        <f>MAX(0,D305*0.010825000000000001)</f>
        <v/>
      </c>
      <c r="F305" s="11">
        <f>MAX(0,MIN(D305,6523.75-E305))</f>
        <v/>
      </c>
      <c r="G305" s="11">
        <f>MAX(0,D305-F305)</f>
        <v/>
      </c>
      <c r="H305" s="11">
        <f>H304+E305</f>
        <v/>
      </c>
      <c r="I305" s="11">
        <f>I304+F305</f>
        <v/>
      </c>
    </row>
    <row r="306">
      <c r="A306" s="34" t="n">
        <v>25</v>
      </c>
      <c r="B306" s="34" t="inlineStr">
        <is>
          <t>Dec</t>
        </is>
      </c>
      <c r="C306" s="34" t="inlineStr">
        <is>
          <t>2027-12-30</t>
        </is>
      </c>
      <c r="D306" s="11">
        <f>G305</f>
        <v/>
      </c>
      <c r="E306" s="11">
        <f>MAX(0,D306*0.010825000000000001)</f>
        <v/>
      </c>
      <c r="F306" s="11">
        <f>MAX(0,MIN(D306,6523.75-E306))</f>
        <v/>
      </c>
      <c r="G306" s="11">
        <f>MAX(0,D306-F306)</f>
        <v/>
      </c>
      <c r="H306" s="11">
        <f>H305+E306</f>
        <v/>
      </c>
      <c r="I306" s="11">
        <f>I305+F306</f>
        <v/>
      </c>
    </row>
    <row r="307">
      <c r="A307" s="34" t="n">
        <v>26</v>
      </c>
      <c r="B307" s="34" t="inlineStr">
        <is>
          <t>Jan</t>
        </is>
      </c>
      <c r="C307" s="34" t="inlineStr">
        <is>
          <t>2028-01-30</t>
        </is>
      </c>
      <c r="D307" s="11">
        <f>G306</f>
        <v/>
      </c>
      <c r="E307" s="11">
        <f>MAX(0,D307*0.010825000000000001)</f>
        <v/>
      </c>
      <c r="F307" s="11">
        <f>MAX(0,MIN(D307,6523.75-E307))</f>
        <v/>
      </c>
      <c r="G307" s="11">
        <f>MAX(0,D307-F307)</f>
        <v/>
      </c>
      <c r="H307" s="11">
        <f>H306+E307</f>
        <v/>
      </c>
      <c r="I307" s="11">
        <f>I306+F307</f>
        <v/>
      </c>
    </row>
    <row r="308">
      <c r="A308" s="34" t="n">
        <v>27</v>
      </c>
      <c r="B308" s="34" t="inlineStr">
        <is>
          <t>Feb</t>
        </is>
      </c>
      <c r="C308" s="34" t="inlineStr">
        <is>
          <t>2028-02-29</t>
        </is>
      </c>
      <c r="D308" s="11">
        <f>G307</f>
        <v/>
      </c>
      <c r="E308" s="11">
        <f>MAX(0,D308*0.010825000000000001)</f>
        <v/>
      </c>
      <c r="F308" s="11">
        <f>MAX(0,MIN(D308,6523.75-E308))</f>
        <v/>
      </c>
      <c r="G308" s="11">
        <f>MAX(0,D308-F308)</f>
        <v/>
      </c>
      <c r="H308" s="11">
        <f>H307+E308</f>
        <v/>
      </c>
      <c r="I308" s="11">
        <f>I307+F308</f>
        <v/>
      </c>
    </row>
    <row r="309">
      <c r="A309" s="34" t="n">
        <v>28</v>
      </c>
      <c r="B309" s="34" t="inlineStr">
        <is>
          <t>Mar</t>
        </is>
      </c>
      <c r="C309" s="34" t="inlineStr">
        <is>
          <t>2028-03-30</t>
        </is>
      </c>
      <c r="D309" s="11">
        <f>G308</f>
        <v/>
      </c>
      <c r="E309" s="11">
        <f>MAX(0,D309*0.010825000000000001)</f>
        <v/>
      </c>
      <c r="F309" s="11">
        <f>MAX(0,MIN(D309,6523.75-E309))</f>
        <v/>
      </c>
      <c r="G309" s="11">
        <f>MAX(0,D309-F309)</f>
        <v/>
      </c>
      <c r="H309" s="11">
        <f>H308+E309</f>
        <v/>
      </c>
      <c r="I309" s="11">
        <f>I308+F309</f>
        <v/>
      </c>
    </row>
    <row r="310">
      <c r="A310" s="34" t="n">
        <v>29</v>
      </c>
      <c r="B310" s="34" t="inlineStr">
        <is>
          <t>Apr</t>
        </is>
      </c>
      <c r="C310" s="34" t="inlineStr">
        <is>
          <t>2028-04-30</t>
        </is>
      </c>
      <c r="D310" s="11">
        <f>G309</f>
        <v/>
      </c>
      <c r="E310" s="11">
        <f>MAX(0,D310*0.010825000000000001)</f>
        <v/>
      </c>
      <c r="F310" s="11">
        <f>MAX(0,MIN(D310,6523.75-E310))</f>
        <v/>
      </c>
      <c r="G310" s="11">
        <f>MAX(0,D310-F310)</f>
        <v/>
      </c>
      <c r="H310" s="11">
        <f>H309+E310</f>
        <v/>
      </c>
      <c r="I310" s="11">
        <f>I309+F310</f>
        <v/>
      </c>
    </row>
    <row r="311">
      <c r="A311" s="34" t="n">
        <v>30</v>
      </c>
      <c r="B311" s="34" t="inlineStr">
        <is>
          <t>May</t>
        </is>
      </c>
      <c r="C311" s="34" t="inlineStr">
        <is>
          <t>2028-05-30</t>
        </is>
      </c>
      <c r="D311" s="11">
        <f>G310</f>
        <v/>
      </c>
      <c r="E311" s="11">
        <f>MAX(0,D311*0.010825000000000001)</f>
        <v/>
      </c>
      <c r="F311" s="11">
        <f>MAX(0,MIN(D311,6523.75-E311))</f>
        <v/>
      </c>
      <c r="G311" s="11">
        <f>MAX(0,D311-F311)</f>
        <v/>
      </c>
      <c r="H311" s="11">
        <f>H310+E311</f>
        <v/>
      </c>
      <c r="I311" s="11">
        <f>I310+F311</f>
        <v/>
      </c>
    </row>
    <row r="312">
      <c r="A312" s="34" t="n">
        <v>31</v>
      </c>
      <c r="B312" s="34" t="inlineStr">
        <is>
          <t>Jun</t>
        </is>
      </c>
      <c r="C312" s="34" t="inlineStr">
        <is>
          <t>2028-06-30</t>
        </is>
      </c>
      <c r="D312" s="11">
        <f>G311</f>
        <v/>
      </c>
      <c r="E312" s="11">
        <f>MAX(0,D312*0.010825000000000001)</f>
        <v/>
      </c>
      <c r="F312" s="11">
        <f>MAX(0,MIN(D312,6523.75-E312))</f>
        <v/>
      </c>
      <c r="G312" s="11">
        <f>MAX(0,D312-F312)</f>
        <v/>
      </c>
      <c r="H312" s="11">
        <f>H311+E312</f>
        <v/>
      </c>
      <c r="I312" s="11">
        <f>I311+F312</f>
        <v/>
      </c>
    </row>
    <row r="313">
      <c r="A313" s="34" t="n">
        <v>32</v>
      </c>
      <c r="B313" s="34" t="inlineStr">
        <is>
          <t>Jul</t>
        </is>
      </c>
      <c r="C313" s="34" t="inlineStr">
        <is>
          <t>2028-07-30</t>
        </is>
      </c>
      <c r="D313" s="11">
        <f>G312</f>
        <v/>
      </c>
      <c r="E313" s="11">
        <f>MAX(0,D313*0.010825000000000001)</f>
        <v/>
      </c>
      <c r="F313" s="11">
        <f>MAX(0,MIN(D313,6523.75-E313))</f>
        <v/>
      </c>
      <c r="G313" s="11">
        <f>MAX(0,D313-F313)</f>
        <v/>
      </c>
      <c r="H313" s="11">
        <f>H312+E313</f>
        <v/>
      </c>
      <c r="I313" s="11">
        <f>I312+F313</f>
        <v/>
      </c>
    </row>
    <row r="314">
      <c r="A314" s="34" t="n">
        <v>33</v>
      </c>
      <c r="B314" s="34" t="inlineStr">
        <is>
          <t>Aug</t>
        </is>
      </c>
      <c r="C314" s="34" t="inlineStr">
        <is>
          <t>2028-08-30</t>
        </is>
      </c>
      <c r="D314" s="11">
        <f>G313</f>
        <v/>
      </c>
      <c r="E314" s="11">
        <f>MAX(0,D314*0.010825000000000001)</f>
        <v/>
      </c>
      <c r="F314" s="11">
        <f>MAX(0,MIN(D314,6523.75-E314))</f>
        <v/>
      </c>
      <c r="G314" s="11">
        <f>MAX(0,D314-F314)</f>
        <v/>
      </c>
      <c r="H314" s="11">
        <f>H313+E314</f>
        <v/>
      </c>
      <c r="I314" s="11">
        <f>I313+F314</f>
        <v/>
      </c>
    </row>
    <row r="315">
      <c r="A315" s="34" t="n">
        <v>34</v>
      </c>
      <c r="B315" s="34" t="inlineStr">
        <is>
          <t>Sep</t>
        </is>
      </c>
      <c r="C315" s="34" t="inlineStr">
        <is>
          <t>2028-09-30</t>
        </is>
      </c>
      <c r="D315" s="11">
        <f>G314</f>
        <v/>
      </c>
      <c r="E315" s="11">
        <f>MAX(0,D315*0.010825000000000001)</f>
        <v/>
      </c>
      <c r="F315" s="11">
        <f>MAX(0,MIN(D315,6523.75-E315))</f>
        <v/>
      </c>
      <c r="G315" s="11">
        <f>MAX(0,D315-F315)</f>
        <v/>
      </c>
      <c r="H315" s="11">
        <f>H314+E315</f>
        <v/>
      </c>
      <c r="I315" s="11">
        <f>I314+F315</f>
        <v/>
      </c>
    </row>
    <row r="316">
      <c r="A316" s="34" t="n">
        <v>35</v>
      </c>
      <c r="B316" s="34" t="inlineStr">
        <is>
          <t>Oct</t>
        </is>
      </c>
      <c r="C316" s="34" t="inlineStr">
        <is>
          <t>2028-10-30</t>
        </is>
      </c>
      <c r="D316" s="11">
        <f>G315</f>
        <v/>
      </c>
      <c r="E316" s="11">
        <f>MAX(0,D316*0.010825000000000001)</f>
        <v/>
      </c>
      <c r="F316" s="11">
        <f>MAX(0,MIN(D316,6523.75-E316))</f>
        <v/>
      </c>
      <c r="G316" s="11">
        <f>MAX(0,D316-F316)</f>
        <v/>
      </c>
      <c r="H316" s="11">
        <f>H315+E316</f>
        <v/>
      </c>
      <c r="I316" s="11">
        <f>I315+F316</f>
        <v/>
      </c>
    </row>
    <row r="317">
      <c r="A317" s="34" t="n">
        <v>36</v>
      </c>
      <c r="B317" s="34" t="inlineStr">
        <is>
          <t>Nov</t>
        </is>
      </c>
      <c r="C317" s="34" t="inlineStr">
        <is>
          <t>2028-11-30</t>
        </is>
      </c>
      <c r="D317" s="11">
        <f>G316</f>
        <v/>
      </c>
      <c r="E317" s="11">
        <f>MAX(0,D317*0.010825000000000001)</f>
        <v/>
      </c>
      <c r="F317" s="11">
        <f>MAX(0,MIN(D317,6523.75-E317))</f>
        <v/>
      </c>
      <c r="G317" s="11">
        <f>MAX(0,D317-F317)</f>
        <v/>
      </c>
      <c r="H317" s="11">
        <f>H316+E317</f>
        <v/>
      </c>
      <c r="I317" s="11">
        <f>I316+F317</f>
        <v/>
      </c>
    </row>
    <row r="318">
      <c r="A318" s="34" t="n">
        <v>37</v>
      </c>
      <c r="B318" s="34" t="inlineStr">
        <is>
          <t>Dec</t>
        </is>
      </c>
      <c r="C318" s="34" t="inlineStr">
        <is>
          <t>2028-12-30</t>
        </is>
      </c>
      <c r="D318" s="11">
        <f>G317</f>
        <v/>
      </c>
      <c r="E318" s="11">
        <f>MAX(0,D318*0.010825000000000001)</f>
        <v/>
      </c>
      <c r="F318" s="11">
        <f>MAX(0,MIN(D318,6523.75-E318))</f>
        <v/>
      </c>
      <c r="G318" s="11">
        <f>MAX(0,D318-F318)</f>
        <v/>
      </c>
      <c r="H318" s="11">
        <f>H317+E318</f>
        <v/>
      </c>
      <c r="I318" s="11">
        <f>I317+F318</f>
        <v/>
      </c>
    </row>
    <row r="319">
      <c r="A319" s="34" t="n">
        <v>38</v>
      </c>
      <c r="B319" s="34" t="inlineStr">
        <is>
          <t>Jan</t>
        </is>
      </c>
      <c r="C319" s="34" t="inlineStr">
        <is>
          <t>2029-01-30</t>
        </is>
      </c>
      <c r="D319" s="11">
        <f>G318</f>
        <v/>
      </c>
      <c r="E319" s="11">
        <f>MAX(0,D319*0.010825000000000001)</f>
        <v/>
      </c>
      <c r="F319" s="11">
        <f>MAX(0,MIN(D319,6523.75-E319))</f>
        <v/>
      </c>
      <c r="G319" s="11">
        <f>MAX(0,D319-F319)</f>
        <v/>
      </c>
      <c r="H319" s="11">
        <f>H318+E319</f>
        <v/>
      </c>
      <c r="I319" s="11">
        <f>I318+F319</f>
        <v/>
      </c>
    </row>
    <row r="320">
      <c r="A320" s="34" t="n">
        <v>39</v>
      </c>
      <c r="B320" s="34" t="inlineStr">
        <is>
          <t>Feb</t>
        </is>
      </c>
      <c r="C320" s="34" t="inlineStr">
        <is>
          <t>2029-02-28</t>
        </is>
      </c>
      <c r="D320" s="11">
        <f>G319</f>
        <v/>
      </c>
      <c r="E320" s="11">
        <f>MAX(0,D320*0.010825000000000001)</f>
        <v/>
      </c>
      <c r="F320" s="11">
        <f>MAX(0,MIN(D320,6523.75-E320))</f>
        <v/>
      </c>
      <c r="G320" s="11">
        <f>MAX(0,D320-F320)</f>
        <v/>
      </c>
      <c r="H320" s="11">
        <f>H319+E320</f>
        <v/>
      </c>
      <c r="I320" s="11">
        <f>I319+F320</f>
        <v/>
      </c>
    </row>
    <row r="321">
      <c r="A321" s="34" t="n">
        <v>40</v>
      </c>
      <c r="B321" s="34" t="inlineStr">
        <is>
          <t>Mar</t>
        </is>
      </c>
      <c r="C321" s="34" t="inlineStr">
        <is>
          <t>2029-03-30</t>
        </is>
      </c>
      <c r="D321" s="11">
        <f>G320</f>
        <v/>
      </c>
      <c r="E321" s="11">
        <f>MAX(0,D321*0.010825000000000001)</f>
        <v/>
      </c>
      <c r="F321" s="11">
        <f>MAX(0,MIN(D321,6523.75-E321))</f>
        <v/>
      </c>
      <c r="G321" s="11">
        <f>MAX(0,D321-F321)</f>
        <v/>
      </c>
      <c r="H321" s="11">
        <f>H320+E321</f>
        <v/>
      </c>
      <c r="I321" s="11">
        <f>I320+F321</f>
        <v/>
      </c>
    </row>
    <row r="322">
      <c r="A322" s="34" t="n">
        <v>41</v>
      </c>
      <c r="B322" s="34" t="inlineStr">
        <is>
          <t>Apr</t>
        </is>
      </c>
      <c r="C322" s="34" t="inlineStr">
        <is>
          <t>2029-04-30</t>
        </is>
      </c>
      <c r="D322" s="11">
        <f>G321</f>
        <v/>
      </c>
      <c r="E322" s="11">
        <f>MAX(0,D322*0.010825000000000001)</f>
        <v/>
      </c>
      <c r="F322" s="11">
        <f>MAX(0,MIN(D322,6523.75-E322))</f>
        <v/>
      </c>
      <c r="G322" s="11">
        <f>MAX(0,D322-F322)</f>
        <v/>
      </c>
      <c r="H322" s="11">
        <f>H321+E322</f>
        <v/>
      </c>
      <c r="I322" s="11">
        <f>I321+F322</f>
        <v/>
      </c>
    </row>
    <row r="323">
      <c r="A323" s="34" t="n">
        <v>42</v>
      </c>
      <c r="B323" s="34" t="inlineStr">
        <is>
          <t>May</t>
        </is>
      </c>
      <c r="C323" s="34" t="inlineStr">
        <is>
          <t>2029-05-30</t>
        </is>
      </c>
      <c r="D323" s="11">
        <f>G322</f>
        <v/>
      </c>
      <c r="E323" s="11">
        <f>MAX(0,D323*0.010825000000000001)</f>
        <v/>
      </c>
      <c r="F323" s="11">
        <f>MAX(0,MIN(D323,6523.75-E323))</f>
        <v/>
      </c>
      <c r="G323" s="11">
        <f>MAX(0,D323-F323)</f>
        <v/>
      </c>
      <c r="H323" s="11">
        <f>H322+E323</f>
        <v/>
      </c>
      <c r="I323" s="11">
        <f>I322+F323</f>
        <v/>
      </c>
    </row>
    <row r="324">
      <c r="A324" s="34" t="n">
        <v>43</v>
      </c>
      <c r="B324" s="34" t="inlineStr">
        <is>
          <t>Jun</t>
        </is>
      </c>
      <c r="C324" s="34" t="inlineStr">
        <is>
          <t>2029-06-30</t>
        </is>
      </c>
      <c r="D324" s="11">
        <f>G323</f>
        <v/>
      </c>
      <c r="E324" s="11">
        <f>MAX(0,D324*0.010825000000000001)</f>
        <v/>
      </c>
      <c r="F324" s="11">
        <f>MAX(0,MIN(D324,6523.75-E324))</f>
        <v/>
      </c>
      <c r="G324" s="11">
        <f>MAX(0,D324-F324)</f>
        <v/>
      </c>
      <c r="H324" s="11">
        <f>H323+E324</f>
        <v/>
      </c>
      <c r="I324" s="11">
        <f>I323+F324</f>
        <v/>
      </c>
    </row>
    <row r="325">
      <c r="A325" s="34" t="n">
        <v>44</v>
      </c>
      <c r="B325" s="34" t="inlineStr">
        <is>
          <t>Jul</t>
        </is>
      </c>
      <c r="C325" s="34" t="inlineStr">
        <is>
          <t>2029-07-30</t>
        </is>
      </c>
      <c r="D325" s="11">
        <f>G324</f>
        <v/>
      </c>
      <c r="E325" s="11">
        <f>MAX(0,D325*0.010825000000000001)</f>
        <v/>
      </c>
      <c r="F325" s="11">
        <f>MAX(0,MIN(D325,6523.75-E325))</f>
        <v/>
      </c>
      <c r="G325" s="11">
        <f>MAX(0,D325-F325)</f>
        <v/>
      </c>
      <c r="H325" s="11">
        <f>H324+E325</f>
        <v/>
      </c>
      <c r="I325" s="11">
        <f>I324+F325</f>
        <v/>
      </c>
    </row>
    <row r="326">
      <c r="A326" s="34" t="n">
        <v>45</v>
      </c>
      <c r="B326" s="34" t="inlineStr">
        <is>
          <t>Aug</t>
        </is>
      </c>
      <c r="C326" s="34" t="inlineStr">
        <is>
          <t>2029-08-30</t>
        </is>
      </c>
      <c r="D326" s="11">
        <f>G325</f>
        <v/>
      </c>
      <c r="E326" s="11">
        <f>MAX(0,D326*0.010825000000000001)</f>
        <v/>
      </c>
      <c r="F326" s="11">
        <f>MAX(0,MIN(D326,6523.75-E326))</f>
        <v/>
      </c>
      <c r="G326" s="11">
        <f>MAX(0,D326-F326)</f>
        <v/>
      </c>
      <c r="H326" s="11">
        <f>H325+E326</f>
        <v/>
      </c>
      <c r="I326" s="11">
        <f>I325+F326</f>
        <v/>
      </c>
    </row>
    <row r="327">
      <c r="A327" s="34" t="n">
        <v>46</v>
      </c>
      <c r="B327" s="34" t="inlineStr">
        <is>
          <t>Sep</t>
        </is>
      </c>
      <c r="C327" s="34" t="inlineStr">
        <is>
          <t>2029-09-30</t>
        </is>
      </c>
      <c r="D327" s="11">
        <f>G326</f>
        <v/>
      </c>
      <c r="E327" s="11">
        <f>MAX(0,D327*0.010825000000000001)</f>
        <v/>
      </c>
      <c r="F327" s="11">
        <f>MAX(0,MIN(D327,6523.75-E327))</f>
        <v/>
      </c>
      <c r="G327" s="11">
        <f>MAX(0,D327-F327)</f>
        <v/>
      </c>
      <c r="H327" s="11">
        <f>H326+E327</f>
        <v/>
      </c>
      <c r="I327" s="11">
        <f>I326+F327</f>
        <v/>
      </c>
    </row>
    <row r="328">
      <c r="A328" s="34" t="n">
        <v>47</v>
      </c>
      <c r="B328" s="34" t="inlineStr">
        <is>
          <t>Oct</t>
        </is>
      </c>
      <c r="C328" s="34" t="inlineStr">
        <is>
          <t>2029-10-30</t>
        </is>
      </c>
      <c r="D328" s="11">
        <f>G327</f>
        <v/>
      </c>
      <c r="E328" s="11">
        <f>MAX(0,D328*0.010825000000000001)</f>
        <v/>
      </c>
      <c r="F328" s="11">
        <f>MAX(0,MIN(D328,6523.75-E328))</f>
        <v/>
      </c>
      <c r="G328" s="11">
        <f>MAX(0,D328-F328)</f>
        <v/>
      </c>
      <c r="H328" s="11">
        <f>H327+E328</f>
        <v/>
      </c>
      <c r="I328" s="11">
        <f>I327+F328</f>
        <v/>
      </c>
    </row>
    <row r="329">
      <c r="A329" s="73" t="n"/>
      <c r="B329" s="74" t="inlineStr">
        <is>
          <t>TOTAL</t>
        </is>
      </c>
      <c r="C329" s="73" t="n"/>
      <c r="D329" s="73" t="n"/>
      <c r="E329" s="77">
        <f>SUM(E282:E328)</f>
        <v/>
      </c>
      <c r="F329" s="77">
        <f>SUM(F282:F328)</f>
        <v/>
      </c>
      <c r="G329" s="73" t="n"/>
      <c r="H329" s="73" t="n"/>
      <c r="I329" s="73" t="n"/>
    </row>
    <row r="332">
      <c r="A332" s="39" t="inlineStr">
        <is>
          <t>LOAN 5: JX FINANCIAL</t>
        </is>
      </c>
    </row>
    <row r="333">
      <c r="B333" s="20" t="inlineStr">
        <is>
          <t>Loan ID</t>
        </is>
      </c>
      <c r="C333" t="inlineStr">
        <is>
          <t>05-2989-000-000-00</t>
        </is>
      </c>
    </row>
    <row r="334">
      <c r="B334" s="20" t="inlineStr">
        <is>
          <t>Account #</t>
        </is>
      </c>
      <c r="C334" t="inlineStr">
        <is>
          <t>N/A</t>
        </is>
      </c>
    </row>
    <row r="335">
      <c r="B335" s="20" t="inlineStr">
        <is>
          <t>Description</t>
        </is>
      </c>
      <c r="C335" t="inlineStr">
        <is>
          <t>50 Trailers (Trucks 53719-53768) (Oct 2025)</t>
        </is>
      </c>
    </row>
    <row r="336">
      <c r="B336" s="20" t="inlineStr">
        <is>
          <t>Origination Date</t>
        </is>
      </c>
      <c r="C336" t="inlineStr">
        <is>
          <t>2025-10-23</t>
        </is>
      </c>
    </row>
    <row r="337">
      <c r="B337" s="20" t="inlineStr">
        <is>
          <t>Maturity Date</t>
        </is>
      </c>
      <c r="C337" t="inlineStr">
        <is>
          <t>2031-09-23</t>
        </is>
      </c>
    </row>
    <row r="338">
      <c r="B338" s="20" t="inlineStr">
        <is>
          <t>Opening Balance</t>
        </is>
      </c>
      <c r="C338" s="3" t="n">
        <v>2438820</v>
      </c>
    </row>
    <row r="339">
      <c r="B339" s="20" t="inlineStr">
        <is>
          <t>Remaining Balance (Nov 2025)</t>
        </is>
      </c>
      <c r="C339" s="3" t="n">
        <v>2387694</v>
      </c>
    </row>
    <row r="340">
      <c r="B340" s="20" t="inlineStr">
        <is>
          <t>Annual Interest Rate</t>
        </is>
      </c>
      <c r="C340" t="inlineStr">
        <is>
          <t>9.25%</t>
        </is>
      </c>
    </row>
    <row r="341">
      <c r="B341" s="20" t="inlineStr">
        <is>
          <t>Monthly Payment</t>
        </is>
      </c>
      <c r="C341" s="3" t="n">
        <v>44443.39</v>
      </c>
    </row>
    <row r="342">
      <c r="B342" s="20" t="inlineStr">
        <is>
          <t>Loan Type</t>
        </is>
      </c>
      <c r="C342" t="inlineStr">
        <is>
          <t>AMORTIZING</t>
        </is>
      </c>
    </row>
    <row r="343">
      <c r="B343" s="20" t="inlineStr">
        <is>
          <t>Use</t>
        </is>
      </c>
      <c r="C343" t="inlineStr">
        <is>
          <t>Equipment (Trailers)</t>
        </is>
      </c>
    </row>
    <row r="344">
      <c r="B344" s="20" t="inlineStr">
        <is>
          <t>Source</t>
        </is>
      </c>
      <c r="C344" t="inlineStr">
        <is>
          <t>Meiborg_Debt_Schedule_202511.xlsx</t>
        </is>
      </c>
    </row>
    <row r="346">
      <c r="A346" s="76" t="inlineStr">
        <is>
          <t>AMORTIZATION SCHEDULE</t>
        </is>
      </c>
    </row>
    <row r="347">
      <c r="A347" s="71" t="inlineStr">
        <is>
          <t>#</t>
        </is>
      </c>
      <c r="B347" s="71" t="inlineStr">
        <is>
          <t>Month</t>
        </is>
      </c>
      <c r="C347" s="71" t="inlineStr">
        <is>
          <t>Date</t>
        </is>
      </c>
      <c r="D347" s="71" t="inlineStr">
        <is>
          <t>Opening</t>
        </is>
      </c>
      <c r="E347" s="71" t="inlineStr">
        <is>
          <t>Interest</t>
        </is>
      </c>
      <c r="F347" s="71" t="inlineStr">
        <is>
          <t>Principal</t>
        </is>
      </c>
      <c r="G347" s="71" t="inlineStr">
        <is>
          <t>Closing</t>
        </is>
      </c>
      <c r="H347" s="71" t="inlineStr">
        <is>
          <t>Cum Int</t>
        </is>
      </c>
      <c r="I347" s="71" t="inlineStr">
        <is>
          <t>Cum Prin</t>
        </is>
      </c>
    </row>
    <row r="348">
      <c r="A348" s="34" t="n">
        <v>1</v>
      </c>
      <c r="B348" s="34" t="inlineStr">
        <is>
          <t>Dec</t>
        </is>
      </c>
      <c r="C348" s="34" t="inlineStr">
        <is>
          <t>2025-12-30</t>
        </is>
      </c>
      <c r="D348" s="11" t="n">
        <v>2387694</v>
      </c>
      <c r="E348" s="11">
        <f>MAX(0,D348*0.0077083333333333335)</f>
        <v/>
      </c>
      <c r="F348" s="11">
        <f>MAX(0,MIN(D348,44443.39-E348))</f>
        <v/>
      </c>
      <c r="G348" s="11">
        <f>MAX(0,D348-F348)</f>
        <v/>
      </c>
      <c r="H348" s="11">
        <f>E348</f>
        <v/>
      </c>
      <c r="I348" s="11">
        <f>F348</f>
        <v/>
      </c>
    </row>
    <row r="349">
      <c r="A349" s="34" t="n">
        <v>2</v>
      </c>
      <c r="B349" s="34" t="inlineStr">
        <is>
          <t>Jan</t>
        </is>
      </c>
      <c r="C349" s="34" t="inlineStr">
        <is>
          <t>2026-01-30</t>
        </is>
      </c>
      <c r="D349" s="11">
        <f>G348</f>
        <v/>
      </c>
      <c r="E349" s="11">
        <f>MAX(0,D349*0.0077083333333333335)</f>
        <v/>
      </c>
      <c r="F349" s="11">
        <f>MAX(0,MIN(D349,44443.39-E349))</f>
        <v/>
      </c>
      <c r="G349" s="11">
        <f>MAX(0,D349-F349)</f>
        <v/>
      </c>
      <c r="H349" s="11">
        <f>H348+E349</f>
        <v/>
      </c>
      <c r="I349" s="11">
        <f>I348+F349</f>
        <v/>
      </c>
    </row>
    <row r="350">
      <c r="A350" s="34" t="n">
        <v>3</v>
      </c>
      <c r="B350" s="34" t="inlineStr">
        <is>
          <t>Feb</t>
        </is>
      </c>
      <c r="C350" s="34" t="inlineStr">
        <is>
          <t>2026-02-28</t>
        </is>
      </c>
      <c r="D350" s="11">
        <f>G349</f>
        <v/>
      </c>
      <c r="E350" s="11">
        <f>MAX(0,D350*0.0077083333333333335)</f>
        <v/>
      </c>
      <c r="F350" s="11">
        <f>MAX(0,MIN(D350,44443.39-E350))</f>
        <v/>
      </c>
      <c r="G350" s="11">
        <f>MAX(0,D350-F350)</f>
        <v/>
      </c>
      <c r="H350" s="11">
        <f>H349+E350</f>
        <v/>
      </c>
      <c r="I350" s="11">
        <f>I349+F350</f>
        <v/>
      </c>
    </row>
    <row r="351">
      <c r="A351" s="34" t="n">
        <v>4</v>
      </c>
      <c r="B351" s="34" t="inlineStr">
        <is>
          <t>Mar</t>
        </is>
      </c>
      <c r="C351" s="34" t="inlineStr">
        <is>
          <t>2026-03-30</t>
        </is>
      </c>
      <c r="D351" s="11">
        <f>G350</f>
        <v/>
      </c>
      <c r="E351" s="11">
        <f>MAX(0,D351*0.0077083333333333335)</f>
        <v/>
      </c>
      <c r="F351" s="11">
        <f>MAX(0,MIN(D351,44443.39-E351))</f>
        <v/>
      </c>
      <c r="G351" s="11">
        <f>MAX(0,D351-F351)</f>
        <v/>
      </c>
      <c r="H351" s="11">
        <f>H350+E351</f>
        <v/>
      </c>
      <c r="I351" s="11">
        <f>I350+F351</f>
        <v/>
      </c>
    </row>
    <row r="352">
      <c r="A352" s="34" t="n">
        <v>5</v>
      </c>
      <c r="B352" s="34" t="inlineStr">
        <is>
          <t>Apr</t>
        </is>
      </c>
      <c r="C352" s="34" t="inlineStr">
        <is>
          <t>2026-04-30</t>
        </is>
      </c>
      <c r="D352" s="11">
        <f>G351</f>
        <v/>
      </c>
      <c r="E352" s="11">
        <f>MAX(0,D352*0.0077083333333333335)</f>
        <v/>
      </c>
      <c r="F352" s="11">
        <f>MAX(0,MIN(D352,44443.39-E352))</f>
        <v/>
      </c>
      <c r="G352" s="11">
        <f>MAX(0,D352-F352)</f>
        <v/>
      </c>
      <c r="H352" s="11">
        <f>H351+E352</f>
        <v/>
      </c>
      <c r="I352" s="11">
        <f>I351+F352</f>
        <v/>
      </c>
    </row>
    <row r="353">
      <c r="A353" s="34" t="n">
        <v>6</v>
      </c>
      <c r="B353" s="34" t="inlineStr">
        <is>
          <t>May</t>
        </is>
      </c>
      <c r="C353" s="34" t="inlineStr">
        <is>
          <t>2026-05-30</t>
        </is>
      </c>
      <c r="D353" s="11">
        <f>G352</f>
        <v/>
      </c>
      <c r="E353" s="11">
        <f>MAX(0,D353*0.0077083333333333335)</f>
        <v/>
      </c>
      <c r="F353" s="11">
        <f>MAX(0,MIN(D353,44443.39-E353))</f>
        <v/>
      </c>
      <c r="G353" s="11">
        <f>MAX(0,D353-F353)</f>
        <v/>
      </c>
      <c r="H353" s="11">
        <f>H352+E353</f>
        <v/>
      </c>
      <c r="I353" s="11">
        <f>I352+F353</f>
        <v/>
      </c>
    </row>
    <row r="354">
      <c r="A354" s="34" t="n">
        <v>7</v>
      </c>
      <c r="B354" s="34" t="inlineStr">
        <is>
          <t>Jun</t>
        </is>
      </c>
      <c r="C354" s="34" t="inlineStr">
        <is>
          <t>2026-06-30</t>
        </is>
      </c>
      <c r="D354" s="11">
        <f>G353</f>
        <v/>
      </c>
      <c r="E354" s="11">
        <f>MAX(0,D354*0.0077083333333333335)</f>
        <v/>
      </c>
      <c r="F354" s="11">
        <f>MAX(0,MIN(D354,44443.39-E354))</f>
        <v/>
      </c>
      <c r="G354" s="11">
        <f>MAX(0,D354-F354)</f>
        <v/>
      </c>
      <c r="H354" s="11">
        <f>H353+E354</f>
        <v/>
      </c>
      <c r="I354" s="11">
        <f>I353+F354</f>
        <v/>
      </c>
    </row>
    <row r="355">
      <c r="A355" s="34" t="n">
        <v>8</v>
      </c>
      <c r="B355" s="34" t="inlineStr">
        <is>
          <t>Jul</t>
        </is>
      </c>
      <c r="C355" s="34" t="inlineStr">
        <is>
          <t>2026-07-30</t>
        </is>
      </c>
      <c r="D355" s="11">
        <f>G354</f>
        <v/>
      </c>
      <c r="E355" s="11">
        <f>MAX(0,D355*0.0077083333333333335)</f>
        <v/>
      </c>
      <c r="F355" s="11">
        <f>MAX(0,MIN(D355,44443.39-E355))</f>
        <v/>
      </c>
      <c r="G355" s="11">
        <f>MAX(0,D355-F355)</f>
        <v/>
      </c>
      <c r="H355" s="11">
        <f>H354+E355</f>
        <v/>
      </c>
      <c r="I355" s="11">
        <f>I354+F355</f>
        <v/>
      </c>
    </row>
    <row r="356">
      <c r="A356" s="34" t="n">
        <v>9</v>
      </c>
      <c r="B356" s="34" t="inlineStr">
        <is>
          <t>Aug</t>
        </is>
      </c>
      <c r="C356" s="34" t="inlineStr">
        <is>
          <t>2026-08-30</t>
        </is>
      </c>
      <c r="D356" s="11">
        <f>G355</f>
        <v/>
      </c>
      <c r="E356" s="11">
        <f>MAX(0,D356*0.0077083333333333335)</f>
        <v/>
      </c>
      <c r="F356" s="11">
        <f>MAX(0,MIN(D356,44443.39-E356))</f>
        <v/>
      </c>
      <c r="G356" s="11">
        <f>MAX(0,D356-F356)</f>
        <v/>
      </c>
      <c r="H356" s="11">
        <f>H355+E356</f>
        <v/>
      </c>
      <c r="I356" s="11">
        <f>I355+F356</f>
        <v/>
      </c>
    </row>
    <row r="357">
      <c r="A357" s="34" t="n">
        <v>10</v>
      </c>
      <c r="B357" s="34" t="inlineStr">
        <is>
          <t>Sep</t>
        </is>
      </c>
      <c r="C357" s="34" t="inlineStr">
        <is>
          <t>2026-09-30</t>
        </is>
      </c>
      <c r="D357" s="11">
        <f>G356</f>
        <v/>
      </c>
      <c r="E357" s="11">
        <f>MAX(0,D357*0.0077083333333333335)</f>
        <v/>
      </c>
      <c r="F357" s="11">
        <f>MAX(0,MIN(D357,44443.39-E357))</f>
        <v/>
      </c>
      <c r="G357" s="11">
        <f>MAX(0,D357-F357)</f>
        <v/>
      </c>
      <c r="H357" s="11">
        <f>H356+E357</f>
        <v/>
      </c>
      <c r="I357" s="11">
        <f>I356+F357</f>
        <v/>
      </c>
    </row>
    <row r="358">
      <c r="A358" s="34" t="n">
        <v>11</v>
      </c>
      <c r="B358" s="34" t="inlineStr">
        <is>
          <t>Oct</t>
        </is>
      </c>
      <c r="C358" s="34" t="inlineStr">
        <is>
          <t>2026-10-30</t>
        </is>
      </c>
      <c r="D358" s="11">
        <f>G357</f>
        <v/>
      </c>
      <c r="E358" s="11">
        <f>MAX(0,D358*0.0077083333333333335)</f>
        <v/>
      </c>
      <c r="F358" s="11">
        <f>MAX(0,MIN(D358,44443.39-E358))</f>
        <v/>
      </c>
      <c r="G358" s="11">
        <f>MAX(0,D358-F358)</f>
        <v/>
      </c>
      <c r="H358" s="11">
        <f>H357+E358</f>
        <v/>
      </c>
      <c r="I358" s="11">
        <f>I357+F358</f>
        <v/>
      </c>
    </row>
    <row r="359">
      <c r="A359" s="34" t="n">
        <v>12</v>
      </c>
      <c r="B359" s="34" t="inlineStr">
        <is>
          <t>Nov</t>
        </is>
      </c>
      <c r="C359" s="34" t="inlineStr">
        <is>
          <t>2026-11-30</t>
        </is>
      </c>
      <c r="D359" s="11">
        <f>G358</f>
        <v/>
      </c>
      <c r="E359" s="11">
        <f>MAX(0,D359*0.0077083333333333335)</f>
        <v/>
      </c>
      <c r="F359" s="11">
        <f>MAX(0,MIN(D359,44443.39-E359))</f>
        <v/>
      </c>
      <c r="G359" s="11">
        <f>MAX(0,D359-F359)</f>
        <v/>
      </c>
      <c r="H359" s="11">
        <f>H358+E359</f>
        <v/>
      </c>
      <c r="I359" s="11">
        <f>I358+F359</f>
        <v/>
      </c>
    </row>
    <row r="360">
      <c r="A360" s="34" t="n">
        <v>13</v>
      </c>
      <c r="B360" s="34" t="inlineStr">
        <is>
          <t>Dec</t>
        </is>
      </c>
      <c r="C360" s="34" t="inlineStr">
        <is>
          <t>2026-12-30</t>
        </is>
      </c>
      <c r="D360" s="11">
        <f>G359</f>
        <v/>
      </c>
      <c r="E360" s="11">
        <f>MAX(0,D360*0.0077083333333333335)</f>
        <v/>
      </c>
      <c r="F360" s="11">
        <f>MAX(0,MIN(D360,44443.39-E360))</f>
        <v/>
      </c>
      <c r="G360" s="11">
        <f>MAX(0,D360-F360)</f>
        <v/>
      </c>
      <c r="H360" s="11">
        <f>H359+E360</f>
        <v/>
      </c>
      <c r="I360" s="11">
        <f>I359+F360</f>
        <v/>
      </c>
    </row>
    <row r="361">
      <c r="A361" s="34" t="n">
        <v>14</v>
      </c>
      <c r="B361" s="34" t="inlineStr">
        <is>
          <t>Jan</t>
        </is>
      </c>
      <c r="C361" s="34" t="inlineStr">
        <is>
          <t>2027-01-30</t>
        </is>
      </c>
      <c r="D361" s="11">
        <f>G360</f>
        <v/>
      </c>
      <c r="E361" s="11">
        <f>MAX(0,D361*0.0077083333333333335)</f>
        <v/>
      </c>
      <c r="F361" s="11">
        <f>MAX(0,MIN(D361,44443.39-E361))</f>
        <v/>
      </c>
      <c r="G361" s="11">
        <f>MAX(0,D361-F361)</f>
        <v/>
      </c>
      <c r="H361" s="11">
        <f>H360+E361</f>
        <v/>
      </c>
      <c r="I361" s="11">
        <f>I360+F361</f>
        <v/>
      </c>
    </row>
    <row r="362">
      <c r="A362" s="34" t="n">
        <v>15</v>
      </c>
      <c r="B362" s="34" t="inlineStr">
        <is>
          <t>Feb</t>
        </is>
      </c>
      <c r="C362" s="34" t="inlineStr">
        <is>
          <t>2027-02-28</t>
        </is>
      </c>
      <c r="D362" s="11">
        <f>G361</f>
        <v/>
      </c>
      <c r="E362" s="11">
        <f>MAX(0,D362*0.0077083333333333335)</f>
        <v/>
      </c>
      <c r="F362" s="11">
        <f>MAX(0,MIN(D362,44443.39-E362))</f>
        <v/>
      </c>
      <c r="G362" s="11">
        <f>MAX(0,D362-F362)</f>
        <v/>
      </c>
      <c r="H362" s="11">
        <f>H361+E362</f>
        <v/>
      </c>
      <c r="I362" s="11">
        <f>I361+F362</f>
        <v/>
      </c>
    </row>
    <row r="363">
      <c r="A363" s="34" t="n">
        <v>16</v>
      </c>
      <c r="B363" s="34" t="inlineStr">
        <is>
          <t>Mar</t>
        </is>
      </c>
      <c r="C363" s="34" t="inlineStr">
        <is>
          <t>2027-03-30</t>
        </is>
      </c>
      <c r="D363" s="11">
        <f>G362</f>
        <v/>
      </c>
      <c r="E363" s="11">
        <f>MAX(0,D363*0.0077083333333333335)</f>
        <v/>
      </c>
      <c r="F363" s="11">
        <f>MAX(0,MIN(D363,44443.39-E363))</f>
        <v/>
      </c>
      <c r="G363" s="11">
        <f>MAX(0,D363-F363)</f>
        <v/>
      </c>
      <c r="H363" s="11">
        <f>H362+E363</f>
        <v/>
      </c>
      <c r="I363" s="11">
        <f>I362+F363</f>
        <v/>
      </c>
    </row>
    <row r="364">
      <c r="A364" s="34" t="n">
        <v>17</v>
      </c>
      <c r="B364" s="34" t="inlineStr">
        <is>
          <t>Apr</t>
        </is>
      </c>
      <c r="C364" s="34" t="inlineStr">
        <is>
          <t>2027-04-30</t>
        </is>
      </c>
      <c r="D364" s="11">
        <f>G363</f>
        <v/>
      </c>
      <c r="E364" s="11">
        <f>MAX(0,D364*0.0077083333333333335)</f>
        <v/>
      </c>
      <c r="F364" s="11">
        <f>MAX(0,MIN(D364,44443.39-E364))</f>
        <v/>
      </c>
      <c r="G364" s="11">
        <f>MAX(0,D364-F364)</f>
        <v/>
      </c>
      <c r="H364" s="11">
        <f>H363+E364</f>
        <v/>
      </c>
      <c r="I364" s="11">
        <f>I363+F364</f>
        <v/>
      </c>
    </row>
    <row r="365">
      <c r="A365" s="34" t="n">
        <v>18</v>
      </c>
      <c r="B365" s="34" t="inlineStr">
        <is>
          <t>May</t>
        </is>
      </c>
      <c r="C365" s="34" t="inlineStr">
        <is>
          <t>2027-05-30</t>
        </is>
      </c>
      <c r="D365" s="11">
        <f>G364</f>
        <v/>
      </c>
      <c r="E365" s="11">
        <f>MAX(0,D365*0.0077083333333333335)</f>
        <v/>
      </c>
      <c r="F365" s="11">
        <f>MAX(0,MIN(D365,44443.39-E365))</f>
        <v/>
      </c>
      <c r="G365" s="11">
        <f>MAX(0,D365-F365)</f>
        <v/>
      </c>
      <c r="H365" s="11">
        <f>H364+E365</f>
        <v/>
      </c>
      <c r="I365" s="11">
        <f>I364+F365</f>
        <v/>
      </c>
    </row>
    <row r="366">
      <c r="A366" s="34" t="n">
        <v>19</v>
      </c>
      <c r="B366" s="34" t="inlineStr">
        <is>
          <t>Jun</t>
        </is>
      </c>
      <c r="C366" s="34" t="inlineStr">
        <is>
          <t>2027-06-30</t>
        </is>
      </c>
      <c r="D366" s="11">
        <f>G365</f>
        <v/>
      </c>
      <c r="E366" s="11">
        <f>MAX(0,D366*0.0077083333333333335)</f>
        <v/>
      </c>
      <c r="F366" s="11">
        <f>MAX(0,MIN(D366,44443.39-E366))</f>
        <v/>
      </c>
      <c r="G366" s="11">
        <f>MAX(0,D366-F366)</f>
        <v/>
      </c>
      <c r="H366" s="11">
        <f>H365+E366</f>
        <v/>
      </c>
      <c r="I366" s="11">
        <f>I365+F366</f>
        <v/>
      </c>
    </row>
    <row r="367">
      <c r="A367" s="34" t="n">
        <v>20</v>
      </c>
      <c r="B367" s="34" t="inlineStr">
        <is>
          <t>Jul</t>
        </is>
      </c>
      <c r="C367" s="34" t="inlineStr">
        <is>
          <t>2027-07-30</t>
        </is>
      </c>
      <c r="D367" s="11">
        <f>G366</f>
        <v/>
      </c>
      <c r="E367" s="11">
        <f>MAX(0,D367*0.0077083333333333335)</f>
        <v/>
      </c>
      <c r="F367" s="11">
        <f>MAX(0,MIN(D367,44443.39-E367))</f>
        <v/>
      </c>
      <c r="G367" s="11">
        <f>MAX(0,D367-F367)</f>
        <v/>
      </c>
      <c r="H367" s="11">
        <f>H366+E367</f>
        <v/>
      </c>
      <c r="I367" s="11">
        <f>I366+F367</f>
        <v/>
      </c>
    </row>
    <row r="368">
      <c r="A368" s="34" t="n">
        <v>21</v>
      </c>
      <c r="B368" s="34" t="inlineStr">
        <is>
          <t>Aug</t>
        </is>
      </c>
      <c r="C368" s="34" t="inlineStr">
        <is>
          <t>2027-08-30</t>
        </is>
      </c>
      <c r="D368" s="11">
        <f>G367</f>
        <v/>
      </c>
      <c r="E368" s="11">
        <f>MAX(0,D368*0.0077083333333333335)</f>
        <v/>
      </c>
      <c r="F368" s="11">
        <f>MAX(0,MIN(D368,44443.39-E368))</f>
        <v/>
      </c>
      <c r="G368" s="11">
        <f>MAX(0,D368-F368)</f>
        <v/>
      </c>
      <c r="H368" s="11">
        <f>H367+E368</f>
        <v/>
      </c>
      <c r="I368" s="11">
        <f>I367+F368</f>
        <v/>
      </c>
    </row>
    <row r="369">
      <c r="A369" s="34" t="n">
        <v>22</v>
      </c>
      <c r="B369" s="34" t="inlineStr">
        <is>
          <t>Sep</t>
        </is>
      </c>
      <c r="C369" s="34" t="inlineStr">
        <is>
          <t>2027-09-30</t>
        </is>
      </c>
      <c r="D369" s="11">
        <f>G368</f>
        <v/>
      </c>
      <c r="E369" s="11">
        <f>MAX(0,D369*0.0077083333333333335)</f>
        <v/>
      </c>
      <c r="F369" s="11">
        <f>MAX(0,MIN(D369,44443.39-E369))</f>
        <v/>
      </c>
      <c r="G369" s="11">
        <f>MAX(0,D369-F369)</f>
        <v/>
      </c>
      <c r="H369" s="11">
        <f>H368+E369</f>
        <v/>
      </c>
      <c r="I369" s="11">
        <f>I368+F369</f>
        <v/>
      </c>
    </row>
    <row r="370">
      <c r="A370" s="34" t="n">
        <v>23</v>
      </c>
      <c r="B370" s="34" t="inlineStr">
        <is>
          <t>Oct</t>
        </is>
      </c>
      <c r="C370" s="34" t="inlineStr">
        <is>
          <t>2027-10-30</t>
        </is>
      </c>
      <c r="D370" s="11">
        <f>G369</f>
        <v/>
      </c>
      <c r="E370" s="11">
        <f>MAX(0,D370*0.0077083333333333335)</f>
        <v/>
      </c>
      <c r="F370" s="11">
        <f>MAX(0,MIN(D370,44443.39-E370))</f>
        <v/>
      </c>
      <c r="G370" s="11">
        <f>MAX(0,D370-F370)</f>
        <v/>
      </c>
      <c r="H370" s="11">
        <f>H369+E370</f>
        <v/>
      </c>
      <c r="I370" s="11">
        <f>I369+F370</f>
        <v/>
      </c>
    </row>
    <row r="371">
      <c r="A371" s="34" t="n">
        <v>24</v>
      </c>
      <c r="B371" s="34" t="inlineStr">
        <is>
          <t>Nov</t>
        </is>
      </c>
      <c r="C371" s="34" t="inlineStr">
        <is>
          <t>2027-11-30</t>
        </is>
      </c>
      <c r="D371" s="11">
        <f>G370</f>
        <v/>
      </c>
      <c r="E371" s="11">
        <f>MAX(0,D371*0.0077083333333333335)</f>
        <v/>
      </c>
      <c r="F371" s="11">
        <f>MAX(0,MIN(D371,44443.39-E371))</f>
        <v/>
      </c>
      <c r="G371" s="11">
        <f>MAX(0,D371-F371)</f>
        <v/>
      </c>
      <c r="H371" s="11">
        <f>H370+E371</f>
        <v/>
      </c>
      <c r="I371" s="11">
        <f>I370+F371</f>
        <v/>
      </c>
    </row>
    <row r="372">
      <c r="A372" s="34" t="n">
        <v>25</v>
      </c>
      <c r="B372" s="34" t="inlineStr">
        <is>
          <t>Dec</t>
        </is>
      </c>
      <c r="C372" s="34" t="inlineStr">
        <is>
          <t>2027-12-30</t>
        </is>
      </c>
      <c r="D372" s="11">
        <f>G371</f>
        <v/>
      </c>
      <c r="E372" s="11">
        <f>MAX(0,D372*0.0077083333333333335)</f>
        <v/>
      </c>
      <c r="F372" s="11">
        <f>MAX(0,MIN(D372,44443.39-E372))</f>
        <v/>
      </c>
      <c r="G372" s="11">
        <f>MAX(0,D372-F372)</f>
        <v/>
      </c>
      <c r="H372" s="11">
        <f>H371+E372</f>
        <v/>
      </c>
      <c r="I372" s="11">
        <f>I371+F372</f>
        <v/>
      </c>
    </row>
    <row r="373">
      <c r="A373" s="34" t="n">
        <v>26</v>
      </c>
      <c r="B373" s="34" t="inlineStr">
        <is>
          <t>Jan</t>
        </is>
      </c>
      <c r="C373" s="34" t="inlineStr">
        <is>
          <t>2028-01-30</t>
        </is>
      </c>
      <c r="D373" s="11">
        <f>G372</f>
        <v/>
      </c>
      <c r="E373" s="11">
        <f>MAX(0,D373*0.0077083333333333335)</f>
        <v/>
      </c>
      <c r="F373" s="11">
        <f>MAX(0,MIN(D373,44443.39-E373))</f>
        <v/>
      </c>
      <c r="G373" s="11">
        <f>MAX(0,D373-F373)</f>
        <v/>
      </c>
      <c r="H373" s="11">
        <f>H372+E373</f>
        <v/>
      </c>
      <c r="I373" s="11">
        <f>I372+F373</f>
        <v/>
      </c>
    </row>
    <row r="374">
      <c r="A374" s="34" t="n">
        <v>27</v>
      </c>
      <c r="B374" s="34" t="inlineStr">
        <is>
          <t>Feb</t>
        </is>
      </c>
      <c r="C374" s="34" t="inlineStr">
        <is>
          <t>2028-02-29</t>
        </is>
      </c>
      <c r="D374" s="11">
        <f>G373</f>
        <v/>
      </c>
      <c r="E374" s="11">
        <f>MAX(0,D374*0.0077083333333333335)</f>
        <v/>
      </c>
      <c r="F374" s="11">
        <f>MAX(0,MIN(D374,44443.39-E374))</f>
        <v/>
      </c>
      <c r="G374" s="11">
        <f>MAX(0,D374-F374)</f>
        <v/>
      </c>
      <c r="H374" s="11">
        <f>H373+E374</f>
        <v/>
      </c>
      <c r="I374" s="11">
        <f>I373+F374</f>
        <v/>
      </c>
    </row>
    <row r="375">
      <c r="A375" s="34" t="n">
        <v>28</v>
      </c>
      <c r="B375" s="34" t="inlineStr">
        <is>
          <t>Mar</t>
        </is>
      </c>
      <c r="C375" s="34" t="inlineStr">
        <is>
          <t>2028-03-30</t>
        </is>
      </c>
      <c r="D375" s="11">
        <f>G374</f>
        <v/>
      </c>
      <c r="E375" s="11">
        <f>MAX(0,D375*0.0077083333333333335)</f>
        <v/>
      </c>
      <c r="F375" s="11">
        <f>MAX(0,MIN(D375,44443.39-E375))</f>
        <v/>
      </c>
      <c r="G375" s="11">
        <f>MAX(0,D375-F375)</f>
        <v/>
      </c>
      <c r="H375" s="11">
        <f>H374+E375</f>
        <v/>
      </c>
      <c r="I375" s="11">
        <f>I374+F375</f>
        <v/>
      </c>
    </row>
    <row r="376">
      <c r="A376" s="34" t="n">
        <v>29</v>
      </c>
      <c r="B376" s="34" t="inlineStr">
        <is>
          <t>Apr</t>
        </is>
      </c>
      <c r="C376" s="34" t="inlineStr">
        <is>
          <t>2028-04-30</t>
        </is>
      </c>
      <c r="D376" s="11">
        <f>G375</f>
        <v/>
      </c>
      <c r="E376" s="11">
        <f>MAX(0,D376*0.0077083333333333335)</f>
        <v/>
      </c>
      <c r="F376" s="11">
        <f>MAX(0,MIN(D376,44443.39-E376))</f>
        <v/>
      </c>
      <c r="G376" s="11">
        <f>MAX(0,D376-F376)</f>
        <v/>
      </c>
      <c r="H376" s="11">
        <f>H375+E376</f>
        <v/>
      </c>
      <c r="I376" s="11">
        <f>I375+F376</f>
        <v/>
      </c>
    </row>
    <row r="377">
      <c r="A377" s="34" t="n">
        <v>30</v>
      </c>
      <c r="B377" s="34" t="inlineStr">
        <is>
          <t>May</t>
        </is>
      </c>
      <c r="C377" s="34" t="inlineStr">
        <is>
          <t>2028-05-30</t>
        </is>
      </c>
      <c r="D377" s="11">
        <f>G376</f>
        <v/>
      </c>
      <c r="E377" s="11">
        <f>MAX(0,D377*0.0077083333333333335)</f>
        <v/>
      </c>
      <c r="F377" s="11">
        <f>MAX(0,MIN(D377,44443.39-E377))</f>
        <v/>
      </c>
      <c r="G377" s="11">
        <f>MAX(0,D377-F377)</f>
        <v/>
      </c>
      <c r="H377" s="11">
        <f>H376+E377</f>
        <v/>
      </c>
      <c r="I377" s="11">
        <f>I376+F377</f>
        <v/>
      </c>
    </row>
    <row r="378">
      <c r="A378" s="34" t="n">
        <v>31</v>
      </c>
      <c r="B378" s="34" t="inlineStr">
        <is>
          <t>Jun</t>
        </is>
      </c>
      <c r="C378" s="34" t="inlineStr">
        <is>
          <t>2028-06-30</t>
        </is>
      </c>
      <c r="D378" s="11">
        <f>G377</f>
        <v/>
      </c>
      <c r="E378" s="11">
        <f>MAX(0,D378*0.0077083333333333335)</f>
        <v/>
      </c>
      <c r="F378" s="11">
        <f>MAX(0,MIN(D378,44443.39-E378))</f>
        <v/>
      </c>
      <c r="G378" s="11">
        <f>MAX(0,D378-F378)</f>
        <v/>
      </c>
      <c r="H378" s="11">
        <f>H377+E378</f>
        <v/>
      </c>
      <c r="I378" s="11">
        <f>I377+F378</f>
        <v/>
      </c>
    </row>
    <row r="379">
      <c r="A379" s="34" t="n">
        <v>32</v>
      </c>
      <c r="B379" s="34" t="inlineStr">
        <is>
          <t>Jul</t>
        </is>
      </c>
      <c r="C379" s="34" t="inlineStr">
        <is>
          <t>2028-07-30</t>
        </is>
      </c>
      <c r="D379" s="11">
        <f>G378</f>
        <v/>
      </c>
      <c r="E379" s="11">
        <f>MAX(0,D379*0.0077083333333333335)</f>
        <v/>
      </c>
      <c r="F379" s="11">
        <f>MAX(0,MIN(D379,44443.39-E379))</f>
        <v/>
      </c>
      <c r="G379" s="11">
        <f>MAX(0,D379-F379)</f>
        <v/>
      </c>
      <c r="H379" s="11">
        <f>H378+E379</f>
        <v/>
      </c>
      <c r="I379" s="11">
        <f>I378+F379</f>
        <v/>
      </c>
    </row>
    <row r="380">
      <c r="A380" s="34" t="n">
        <v>33</v>
      </c>
      <c r="B380" s="34" t="inlineStr">
        <is>
          <t>Aug</t>
        </is>
      </c>
      <c r="C380" s="34" t="inlineStr">
        <is>
          <t>2028-08-30</t>
        </is>
      </c>
      <c r="D380" s="11">
        <f>G379</f>
        <v/>
      </c>
      <c r="E380" s="11">
        <f>MAX(0,D380*0.0077083333333333335)</f>
        <v/>
      </c>
      <c r="F380" s="11">
        <f>MAX(0,MIN(D380,44443.39-E380))</f>
        <v/>
      </c>
      <c r="G380" s="11">
        <f>MAX(0,D380-F380)</f>
        <v/>
      </c>
      <c r="H380" s="11">
        <f>H379+E380</f>
        <v/>
      </c>
      <c r="I380" s="11">
        <f>I379+F380</f>
        <v/>
      </c>
    </row>
    <row r="381">
      <c r="A381" s="34" t="n">
        <v>34</v>
      </c>
      <c r="B381" s="34" t="inlineStr">
        <is>
          <t>Sep</t>
        </is>
      </c>
      <c r="C381" s="34" t="inlineStr">
        <is>
          <t>2028-09-30</t>
        </is>
      </c>
      <c r="D381" s="11">
        <f>G380</f>
        <v/>
      </c>
      <c r="E381" s="11">
        <f>MAX(0,D381*0.0077083333333333335)</f>
        <v/>
      </c>
      <c r="F381" s="11">
        <f>MAX(0,MIN(D381,44443.39-E381))</f>
        <v/>
      </c>
      <c r="G381" s="11">
        <f>MAX(0,D381-F381)</f>
        <v/>
      </c>
      <c r="H381" s="11">
        <f>H380+E381</f>
        <v/>
      </c>
      <c r="I381" s="11">
        <f>I380+F381</f>
        <v/>
      </c>
    </row>
    <row r="382">
      <c r="A382" s="34" t="n">
        <v>35</v>
      </c>
      <c r="B382" s="34" t="inlineStr">
        <is>
          <t>Oct</t>
        </is>
      </c>
      <c r="C382" s="34" t="inlineStr">
        <is>
          <t>2028-10-30</t>
        </is>
      </c>
      <c r="D382" s="11">
        <f>G381</f>
        <v/>
      </c>
      <c r="E382" s="11">
        <f>MAX(0,D382*0.0077083333333333335)</f>
        <v/>
      </c>
      <c r="F382" s="11">
        <f>MAX(0,MIN(D382,44443.39-E382))</f>
        <v/>
      </c>
      <c r="G382" s="11">
        <f>MAX(0,D382-F382)</f>
        <v/>
      </c>
      <c r="H382" s="11">
        <f>H381+E382</f>
        <v/>
      </c>
      <c r="I382" s="11">
        <f>I381+F382</f>
        <v/>
      </c>
    </row>
    <row r="383">
      <c r="A383" s="34" t="n">
        <v>36</v>
      </c>
      <c r="B383" s="34" t="inlineStr">
        <is>
          <t>Nov</t>
        </is>
      </c>
      <c r="C383" s="34" t="inlineStr">
        <is>
          <t>2028-11-30</t>
        </is>
      </c>
      <c r="D383" s="11">
        <f>G382</f>
        <v/>
      </c>
      <c r="E383" s="11">
        <f>MAX(0,D383*0.0077083333333333335)</f>
        <v/>
      </c>
      <c r="F383" s="11">
        <f>MAX(0,MIN(D383,44443.39-E383))</f>
        <v/>
      </c>
      <c r="G383" s="11">
        <f>MAX(0,D383-F383)</f>
        <v/>
      </c>
      <c r="H383" s="11">
        <f>H382+E383</f>
        <v/>
      </c>
      <c r="I383" s="11">
        <f>I382+F383</f>
        <v/>
      </c>
    </row>
    <row r="384">
      <c r="A384" s="34" t="n">
        <v>37</v>
      </c>
      <c r="B384" s="34" t="inlineStr">
        <is>
          <t>Dec</t>
        </is>
      </c>
      <c r="C384" s="34" t="inlineStr">
        <is>
          <t>2028-12-30</t>
        </is>
      </c>
      <c r="D384" s="11">
        <f>G383</f>
        <v/>
      </c>
      <c r="E384" s="11">
        <f>MAX(0,D384*0.0077083333333333335)</f>
        <v/>
      </c>
      <c r="F384" s="11">
        <f>MAX(0,MIN(D384,44443.39-E384))</f>
        <v/>
      </c>
      <c r="G384" s="11">
        <f>MAX(0,D384-F384)</f>
        <v/>
      </c>
      <c r="H384" s="11">
        <f>H383+E384</f>
        <v/>
      </c>
      <c r="I384" s="11">
        <f>I383+F384</f>
        <v/>
      </c>
    </row>
    <row r="385">
      <c r="A385" s="34" t="n">
        <v>38</v>
      </c>
      <c r="B385" s="34" t="inlineStr">
        <is>
          <t>Jan</t>
        </is>
      </c>
      <c r="C385" s="34" t="inlineStr">
        <is>
          <t>2029-01-30</t>
        </is>
      </c>
      <c r="D385" s="11">
        <f>G384</f>
        <v/>
      </c>
      <c r="E385" s="11">
        <f>MAX(0,D385*0.0077083333333333335)</f>
        <v/>
      </c>
      <c r="F385" s="11">
        <f>MAX(0,MIN(D385,44443.39-E385))</f>
        <v/>
      </c>
      <c r="G385" s="11">
        <f>MAX(0,D385-F385)</f>
        <v/>
      </c>
      <c r="H385" s="11">
        <f>H384+E385</f>
        <v/>
      </c>
      <c r="I385" s="11">
        <f>I384+F385</f>
        <v/>
      </c>
    </row>
    <row r="386">
      <c r="A386" s="34" t="n">
        <v>39</v>
      </c>
      <c r="B386" s="34" t="inlineStr">
        <is>
          <t>Feb</t>
        </is>
      </c>
      <c r="C386" s="34" t="inlineStr">
        <is>
          <t>2029-02-28</t>
        </is>
      </c>
      <c r="D386" s="11">
        <f>G385</f>
        <v/>
      </c>
      <c r="E386" s="11">
        <f>MAX(0,D386*0.0077083333333333335)</f>
        <v/>
      </c>
      <c r="F386" s="11">
        <f>MAX(0,MIN(D386,44443.39-E386))</f>
        <v/>
      </c>
      <c r="G386" s="11">
        <f>MAX(0,D386-F386)</f>
        <v/>
      </c>
      <c r="H386" s="11">
        <f>H385+E386</f>
        <v/>
      </c>
      <c r="I386" s="11">
        <f>I385+F386</f>
        <v/>
      </c>
    </row>
    <row r="387">
      <c r="A387" s="34" t="n">
        <v>40</v>
      </c>
      <c r="B387" s="34" t="inlineStr">
        <is>
          <t>Mar</t>
        </is>
      </c>
      <c r="C387" s="34" t="inlineStr">
        <is>
          <t>2029-03-30</t>
        </is>
      </c>
      <c r="D387" s="11">
        <f>G386</f>
        <v/>
      </c>
      <c r="E387" s="11">
        <f>MAX(0,D387*0.0077083333333333335)</f>
        <v/>
      </c>
      <c r="F387" s="11">
        <f>MAX(0,MIN(D387,44443.39-E387))</f>
        <v/>
      </c>
      <c r="G387" s="11">
        <f>MAX(0,D387-F387)</f>
        <v/>
      </c>
      <c r="H387" s="11">
        <f>H386+E387</f>
        <v/>
      </c>
      <c r="I387" s="11">
        <f>I386+F387</f>
        <v/>
      </c>
    </row>
    <row r="388">
      <c r="A388" s="34" t="n">
        <v>41</v>
      </c>
      <c r="B388" s="34" t="inlineStr">
        <is>
          <t>Apr</t>
        </is>
      </c>
      <c r="C388" s="34" t="inlineStr">
        <is>
          <t>2029-04-30</t>
        </is>
      </c>
      <c r="D388" s="11">
        <f>G387</f>
        <v/>
      </c>
      <c r="E388" s="11">
        <f>MAX(0,D388*0.0077083333333333335)</f>
        <v/>
      </c>
      <c r="F388" s="11">
        <f>MAX(0,MIN(D388,44443.39-E388))</f>
        <v/>
      </c>
      <c r="G388" s="11">
        <f>MAX(0,D388-F388)</f>
        <v/>
      </c>
      <c r="H388" s="11">
        <f>H387+E388</f>
        <v/>
      </c>
      <c r="I388" s="11">
        <f>I387+F388</f>
        <v/>
      </c>
    </row>
    <row r="389">
      <c r="A389" s="34" t="n">
        <v>42</v>
      </c>
      <c r="B389" s="34" t="inlineStr">
        <is>
          <t>May</t>
        </is>
      </c>
      <c r="C389" s="34" t="inlineStr">
        <is>
          <t>2029-05-30</t>
        </is>
      </c>
      <c r="D389" s="11">
        <f>G388</f>
        <v/>
      </c>
      <c r="E389" s="11">
        <f>MAX(0,D389*0.0077083333333333335)</f>
        <v/>
      </c>
      <c r="F389" s="11">
        <f>MAX(0,MIN(D389,44443.39-E389))</f>
        <v/>
      </c>
      <c r="G389" s="11">
        <f>MAX(0,D389-F389)</f>
        <v/>
      </c>
      <c r="H389" s="11">
        <f>H388+E389</f>
        <v/>
      </c>
      <c r="I389" s="11">
        <f>I388+F389</f>
        <v/>
      </c>
    </row>
    <row r="390">
      <c r="A390" s="34" t="n">
        <v>43</v>
      </c>
      <c r="B390" s="34" t="inlineStr">
        <is>
          <t>Jun</t>
        </is>
      </c>
      <c r="C390" s="34" t="inlineStr">
        <is>
          <t>2029-06-30</t>
        </is>
      </c>
      <c r="D390" s="11">
        <f>G389</f>
        <v/>
      </c>
      <c r="E390" s="11">
        <f>MAX(0,D390*0.0077083333333333335)</f>
        <v/>
      </c>
      <c r="F390" s="11">
        <f>MAX(0,MIN(D390,44443.39-E390))</f>
        <v/>
      </c>
      <c r="G390" s="11">
        <f>MAX(0,D390-F390)</f>
        <v/>
      </c>
      <c r="H390" s="11">
        <f>H389+E390</f>
        <v/>
      </c>
      <c r="I390" s="11">
        <f>I389+F390</f>
        <v/>
      </c>
    </row>
    <row r="391">
      <c r="A391" s="34" t="n">
        <v>44</v>
      </c>
      <c r="B391" s="34" t="inlineStr">
        <is>
          <t>Jul</t>
        </is>
      </c>
      <c r="C391" s="34" t="inlineStr">
        <is>
          <t>2029-07-30</t>
        </is>
      </c>
      <c r="D391" s="11">
        <f>G390</f>
        <v/>
      </c>
      <c r="E391" s="11">
        <f>MAX(0,D391*0.0077083333333333335)</f>
        <v/>
      </c>
      <c r="F391" s="11">
        <f>MAX(0,MIN(D391,44443.39-E391))</f>
        <v/>
      </c>
      <c r="G391" s="11">
        <f>MAX(0,D391-F391)</f>
        <v/>
      </c>
      <c r="H391" s="11">
        <f>H390+E391</f>
        <v/>
      </c>
      <c r="I391" s="11">
        <f>I390+F391</f>
        <v/>
      </c>
    </row>
    <row r="392">
      <c r="A392" s="34" t="n">
        <v>45</v>
      </c>
      <c r="B392" s="34" t="inlineStr">
        <is>
          <t>Aug</t>
        </is>
      </c>
      <c r="C392" s="34" t="inlineStr">
        <is>
          <t>2029-08-30</t>
        </is>
      </c>
      <c r="D392" s="11">
        <f>G391</f>
        <v/>
      </c>
      <c r="E392" s="11">
        <f>MAX(0,D392*0.0077083333333333335)</f>
        <v/>
      </c>
      <c r="F392" s="11">
        <f>MAX(0,MIN(D392,44443.39-E392))</f>
        <v/>
      </c>
      <c r="G392" s="11">
        <f>MAX(0,D392-F392)</f>
        <v/>
      </c>
      <c r="H392" s="11">
        <f>H391+E392</f>
        <v/>
      </c>
      <c r="I392" s="11">
        <f>I391+F392</f>
        <v/>
      </c>
    </row>
    <row r="393">
      <c r="A393" s="34" t="n">
        <v>46</v>
      </c>
      <c r="B393" s="34" t="inlineStr">
        <is>
          <t>Sep</t>
        </is>
      </c>
      <c r="C393" s="34" t="inlineStr">
        <is>
          <t>2029-09-30</t>
        </is>
      </c>
      <c r="D393" s="11">
        <f>G392</f>
        <v/>
      </c>
      <c r="E393" s="11">
        <f>MAX(0,D393*0.0077083333333333335)</f>
        <v/>
      </c>
      <c r="F393" s="11">
        <f>MAX(0,MIN(D393,44443.39-E393))</f>
        <v/>
      </c>
      <c r="G393" s="11">
        <f>MAX(0,D393-F393)</f>
        <v/>
      </c>
      <c r="H393" s="11">
        <f>H392+E393</f>
        <v/>
      </c>
      <c r="I393" s="11">
        <f>I392+F393</f>
        <v/>
      </c>
    </row>
    <row r="394">
      <c r="A394" s="34" t="n">
        <v>47</v>
      </c>
      <c r="B394" s="34" t="inlineStr">
        <is>
          <t>Oct</t>
        </is>
      </c>
      <c r="C394" s="34" t="inlineStr">
        <is>
          <t>2029-10-30</t>
        </is>
      </c>
      <c r="D394" s="11">
        <f>G393</f>
        <v/>
      </c>
      <c r="E394" s="11">
        <f>MAX(0,D394*0.0077083333333333335)</f>
        <v/>
      </c>
      <c r="F394" s="11">
        <f>MAX(0,MIN(D394,44443.39-E394))</f>
        <v/>
      </c>
      <c r="G394" s="11">
        <f>MAX(0,D394-F394)</f>
        <v/>
      </c>
      <c r="H394" s="11">
        <f>H393+E394</f>
        <v/>
      </c>
      <c r="I394" s="11">
        <f>I393+F394</f>
        <v/>
      </c>
    </row>
    <row r="395">
      <c r="A395" s="34" t="n">
        <v>48</v>
      </c>
      <c r="B395" s="34" t="inlineStr">
        <is>
          <t>Nov</t>
        </is>
      </c>
      <c r="C395" s="34" t="inlineStr">
        <is>
          <t>2029-11-30</t>
        </is>
      </c>
      <c r="D395" s="11">
        <f>G394</f>
        <v/>
      </c>
      <c r="E395" s="11">
        <f>MAX(0,D395*0.0077083333333333335)</f>
        <v/>
      </c>
      <c r="F395" s="11">
        <f>MAX(0,MIN(D395,44443.39-E395))</f>
        <v/>
      </c>
      <c r="G395" s="11">
        <f>MAX(0,D395-F395)</f>
        <v/>
      </c>
      <c r="H395" s="11">
        <f>H394+E395</f>
        <v/>
      </c>
      <c r="I395" s="11">
        <f>I394+F395</f>
        <v/>
      </c>
    </row>
    <row r="396">
      <c r="A396" s="34" t="n">
        <v>49</v>
      </c>
      <c r="B396" s="34" t="inlineStr">
        <is>
          <t>Dec</t>
        </is>
      </c>
      <c r="C396" s="34" t="inlineStr">
        <is>
          <t>2029-12-30</t>
        </is>
      </c>
      <c r="D396" s="11">
        <f>G395</f>
        <v/>
      </c>
      <c r="E396" s="11">
        <f>MAX(0,D396*0.0077083333333333335)</f>
        <v/>
      </c>
      <c r="F396" s="11">
        <f>MAX(0,MIN(D396,44443.39-E396))</f>
        <v/>
      </c>
      <c r="G396" s="11">
        <f>MAX(0,D396-F396)</f>
        <v/>
      </c>
      <c r="H396" s="11">
        <f>H395+E396</f>
        <v/>
      </c>
      <c r="I396" s="11">
        <f>I395+F396</f>
        <v/>
      </c>
    </row>
    <row r="397">
      <c r="A397" s="34" t="n">
        <v>50</v>
      </c>
      <c r="B397" s="34" t="inlineStr">
        <is>
          <t>Jan</t>
        </is>
      </c>
      <c r="C397" s="34" t="inlineStr">
        <is>
          <t>2030-01-30</t>
        </is>
      </c>
      <c r="D397" s="11">
        <f>G396</f>
        <v/>
      </c>
      <c r="E397" s="11">
        <f>MAX(0,D397*0.0077083333333333335)</f>
        <v/>
      </c>
      <c r="F397" s="11">
        <f>MAX(0,MIN(D397,44443.39-E397))</f>
        <v/>
      </c>
      <c r="G397" s="11">
        <f>MAX(0,D397-F397)</f>
        <v/>
      </c>
      <c r="H397" s="11">
        <f>H396+E397</f>
        <v/>
      </c>
      <c r="I397" s="11">
        <f>I396+F397</f>
        <v/>
      </c>
    </row>
    <row r="398">
      <c r="A398" s="34" t="n">
        <v>51</v>
      </c>
      <c r="B398" s="34" t="inlineStr">
        <is>
          <t>Feb</t>
        </is>
      </c>
      <c r="C398" s="34" t="inlineStr">
        <is>
          <t>2030-02-28</t>
        </is>
      </c>
      <c r="D398" s="11">
        <f>G397</f>
        <v/>
      </c>
      <c r="E398" s="11">
        <f>MAX(0,D398*0.0077083333333333335)</f>
        <v/>
      </c>
      <c r="F398" s="11">
        <f>MAX(0,MIN(D398,44443.39-E398))</f>
        <v/>
      </c>
      <c r="G398" s="11">
        <f>MAX(0,D398-F398)</f>
        <v/>
      </c>
      <c r="H398" s="11">
        <f>H397+E398</f>
        <v/>
      </c>
      <c r="I398" s="11">
        <f>I397+F398</f>
        <v/>
      </c>
    </row>
    <row r="399">
      <c r="A399" s="34" t="n">
        <v>52</v>
      </c>
      <c r="B399" s="34" t="inlineStr">
        <is>
          <t>Mar</t>
        </is>
      </c>
      <c r="C399" s="34" t="inlineStr">
        <is>
          <t>2030-03-30</t>
        </is>
      </c>
      <c r="D399" s="11">
        <f>G398</f>
        <v/>
      </c>
      <c r="E399" s="11">
        <f>MAX(0,D399*0.0077083333333333335)</f>
        <v/>
      </c>
      <c r="F399" s="11">
        <f>MAX(0,MIN(D399,44443.39-E399))</f>
        <v/>
      </c>
      <c r="G399" s="11">
        <f>MAX(0,D399-F399)</f>
        <v/>
      </c>
      <c r="H399" s="11">
        <f>H398+E399</f>
        <v/>
      </c>
      <c r="I399" s="11">
        <f>I398+F399</f>
        <v/>
      </c>
    </row>
    <row r="400">
      <c r="A400" s="34" t="n">
        <v>53</v>
      </c>
      <c r="B400" s="34" t="inlineStr">
        <is>
          <t>Apr</t>
        </is>
      </c>
      <c r="C400" s="34" t="inlineStr">
        <is>
          <t>2030-04-30</t>
        </is>
      </c>
      <c r="D400" s="11">
        <f>G399</f>
        <v/>
      </c>
      <c r="E400" s="11">
        <f>MAX(0,D400*0.0077083333333333335)</f>
        <v/>
      </c>
      <c r="F400" s="11">
        <f>MAX(0,MIN(D400,44443.39-E400))</f>
        <v/>
      </c>
      <c r="G400" s="11">
        <f>MAX(0,D400-F400)</f>
        <v/>
      </c>
      <c r="H400" s="11">
        <f>H399+E400</f>
        <v/>
      </c>
      <c r="I400" s="11">
        <f>I399+F400</f>
        <v/>
      </c>
    </row>
    <row r="401">
      <c r="A401" s="34" t="n">
        <v>54</v>
      </c>
      <c r="B401" s="34" t="inlineStr">
        <is>
          <t>May</t>
        </is>
      </c>
      <c r="C401" s="34" t="inlineStr">
        <is>
          <t>2030-05-30</t>
        </is>
      </c>
      <c r="D401" s="11">
        <f>G400</f>
        <v/>
      </c>
      <c r="E401" s="11">
        <f>MAX(0,D401*0.0077083333333333335)</f>
        <v/>
      </c>
      <c r="F401" s="11">
        <f>MAX(0,MIN(D401,44443.39-E401))</f>
        <v/>
      </c>
      <c r="G401" s="11">
        <f>MAX(0,D401-F401)</f>
        <v/>
      </c>
      <c r="H401" s="11">
        <f>H400+E401</f>
        <v/>
      </c>
      <c r="I401" s="11">
        <f>I400+F401</f>
        <v/>
      </c>
    </row>
    <row r="402">
      <c r="A402" s="34" t="n">
        <v>55</v>
      </c>
      <c r="B402" s="34" t="inlineStr">
        <is>
          <t>Jun</t>
        </is>
      </c>
      <c r="C402" s="34" t="inlineStr">
        <is>
          <t>2030-06-30</t>
        </is>
      </c>
      <c r="D402" s="11">
        <f>G401</f>
        <v/>
      </c>
      <c r="E402" s="11">
        <f>MAX(0,D402*0.0077083333333333335)</f>
        <v/>
      </c>
      <c r="F402" s="11">
        <f>MAX(0,MIN(D402,44443.39-E402))</f>
        <v/>
      </c>
      <c r="G402" s="11">
        <f>MAX(0,D402-F402)</f>
        <v/>
      </c>
      <c r="H402" s="11">
        <f>H401+E402</f>
        <v/>
      </c>
      <c r="I402" s="11">
        <f>I401+F402</f>
        <v/>
      </c>
    </row>
    <row r="403">
      <c r="A403" s="34" t="n">
        <v>56</v>
      </c>
      <c r="B403" s="34" t="inlineStr">
        <is>
          <t>Jul</t>
        </is>
      </c>
      <c r="C403" s="34" t="inlineStr">
        <is>
          <t>2030-07-30</t>
        </is>
      </c>
      <c r="D403" s="11">
        <f>G402</f>
        <v/>
      </c>
      <c r="E403" s="11">
        <f>MAX(0,D403*0.0077083333333333335)</f>
        <v/>
      </c>
      <c r="F403" s="11">
        <f>MAX(0,MIN(D403,44443.39-E403))</f>
        <v/>
      </c>
      <c r="G403" s="11">
        <f>MAX(0,D403-F403)</f>
        <v/>
      </c>
      <c r="H403" s="11">
        <f>H402+E403</f>
        <v/>
      </c>
      <c r="I403" s="11">
        <f>I402+F403</f>
        <v/>
      </c>
    </row>
    <row r="404">
      <c r="A404" s="34" t="n">
        <v>57</v>
      </c>
      <c r="B404" s="34" t="inlineStr">
        <is>
          <t>Aug</t>
        </is>
      </c>
      <c r="C404" s="34" t="inlineStr">
        <is>
          <t>2030-08-30</t>
        </is>
      </c>
      <c r="D404" s="11">
        <f>G403</f>
        <v/>
      </c>
      <c r="E404" s="11">
        <f>MAX(0,D404*0.0077083333333333335)</f>
        <v/>
      </c>
      <c r="F404" s="11">
        <f>MAX(0,MIN(D404,44443.39-E404))</f>
        <v/>
      </c>
      <c r="G404" s="11">
        <f>MAX(0,D404-F404)</f>
        <v/>
      </c>
      <c r="H404" s="11">
        <f>H403+E404</f>
        <v/>
      </c>
      <c r="I404" s="11">
        <f>I403+F404</f>
        <v/>
      </c>
    </row>
    <row r="405">
      <c r="A405" s="34" t="n">
        <v>58</v>
      </c>
      <c r="B405" s="34" t="inlineStr">
        <is>
          <t>Sep</t>
        </is>
      </c>
      <c r="C405" s="34" t="inlineStr">
        <is>
          <t>2030-09-30</t>
        </is>
      </c>
      <c r="D405" s="11">
        <f>G404</f>
        <v/>
      </c>
      <c r="E405" s="11">
        <f>MAX(0,D405*0.0077083333333333335)</f>
        <v/>
      </c>
      <c r="F405" s="11">
        <f>MAX(0,MIN(D405,44443.39-E405))</f>
        <v/>
      </c>
      <c r="G405" s="11">
        <f>MAX(0,D405-F405)</f>
        <v/>
      </c>
      <c r="H405" s="11">
        <f>H404+E405</f>
        <v/>
      </c>
      <c r="I405" s="11">
        <f>I404+F405</f>
        <v/>
      </c>
    </row>
    <row r="406">
      <c r="A406" s="34" t="n">
        <v>59</v>
      </c>
      <c r="B406" s="34" t="inlineStr">
        <is>
          <t>Oct</t>
        </is>
      </c>
      <c r="C406" s="34" t="inlineStr">
        <is>
          <t>2030-10-30</t>
        </is>
      </c>
      <c r="D406" s="11">
        <f>G405</f>
        <v/>
      </c>
      <c r="E406" s="11">
        <f>MAX(0,D406*0.0077083333333333335)</f>
        <v/>
      </c>
      <c r="F406" s="11">
        <f>MAX(0,MIN(D406,44443.39-E406))</f>
        <v/>
      </c>
      <c r="G406" s="11">
        <f>MAX(0,D406-F406)</f>
        <v/>
      </c>
      <c r="H406" s="11">
        <f>H405+E406</f>
        <v/>
      </c>
      <c r="I406" s="11">
        <f>I405+F406</f>
        <v/>
      </c>
    </row>
    <row r="407">
      <c r="A407" s="34" t="n">
        <v>60</v>
      </c>
      <c r="B407" s="34" t="inlineStr">
        <is>
          <t>Nov</t>
        </is>
      </c>
      <c r="C407" s="34" t="inlineStr">
        <is>
          <t>2030-11-30</t>
        </is>
      </c>
      <c r="D407" s="11">
        <f>G406</f>
        <v/>
      </c>
      <c r="E407" s="11">
        <f>MAX(0,D407*0.0077083333333333335)</f>
        <v/>
      </c>
      <c r="F407" s="11">
        <f>MAX(0,MIN(D407,44443.39-E407))</f>
        <v/>
      </c>
      <c r="G407" s="11">
        <f>MAX(0,D407-F407)</f>
        <v/>
      </c>
      <c r="H407" s="11">
        <f>H406+E407</f>
        <v/>
      </c>
      <c r="I407" s="11">
        <f>I406+F407</f>
        <v/>
      </c>
    </row>
    <row r="408">
      <c r="A408" s="34" t="n">
        <v>61</v>
      </c>
      <c r="B408" s="34" t="inlineStr">
        <is>
          <t>Dec</t>
        </is>
      </c>
      <c r="C408" s="34" t="inlineStr">
        <is>
          <t>2030-12-30</t>
        </is>
      </c>
      <c r="D408" s="11">
        <f>G407</f>
        <v/>
      </c>
      <c r="E408" s="11">
        <f>MAX(0,D408*0.0077083333333333335)</f>
        <v/>
      </c>
      <c r="F408" s="11">
        <f>MAX(0,MIN(D408,44443.39-E408))</f>
        <v/>
      </c>
      <c r="G408" s="11">
        <f>MAX(0,D408-F408)</f>
        <v/>
      </c>
      <c r="H408" s="11">
        <f>H407+E408</f>
        <v/>
      </c>
      <c r="I408" s="11">
        <f>I407+F408</f>
        <v/>
      </c>
    </row>
    <row r="409">
      <c r="A409" s="34" t="n">
        <v>62</v>
      </c>
      <c r="B409" s="34" t="inlineStr">
        <is>
          <t>Jan</t>
        </is>
      </c>
      <c r="C409" s="34" t="inlineStr">
        <is>
          <t>2031-01-30</t>
        </is>
      </c>
      <c r="D409" s="11">
        <f>G408</f>
        <v/>
      </c>
      <c r="E409" s="11">
        <f>MAX(0,D409*0.0077083333333333335)</f>
        <v/>
      </c>
      <c r="F409" s="11">
        <f>MAX(0,MIN(D409,44443.39-E409))</f>
        <v/>
      </c>
      <c r="G409" s="11">
        <f>MAX(0,D409-F409)</f>
        <v/>
      </c>
      <c r="H409" s="11">
        <f>H408+E409</f>
        <v/>
      </c>
      <c r="I409" s="11">
        <f>I408+F409</f>
        <v/>
      </c>
    </row>
    <row r="410">
      <c r="A410" s="34" t="n">
        <v>63</v>
      </c>
      <c r="B410" s="34" t="inlineStr">
        <is>
          <t>Feb</t>
        </is>
      </c>
      <c r="C410" s="34" t="inlineStr">
        <is>
          <t>2031-02-28</t>
        </is>
      </c>
      <c r="D410" s="11">
        <f>G409</f>
        <v/>
      </c>
      <c r="E410" s="11">
        <f>MAX(0,D410*0.0077083333333333335)</f>
        <v/>
      </c>
      <c r="F410" s="11">
        <f>MAX(0,MIN(D410,44443.39-E410))</f>
        <v/>
      </c>
      <c r="G410" s="11">
        <f>MAX(0,D410-F410)</f>
        <v/>
      </c>
      <c r="H410" s="11">
        <f>H409+E410</f>
        <v/>
      </c>
      <c r="I410" s="11">
        <f>I409+F410</f>
        <v/>
      </c>
    </row>
    <row r="411">
      <c r="A411" s="34" t="n">
        <v>64</v>
      </c>
      <c r="B411" s="34" t="inlineStr">
        <is>
          <t>Mar</t>
        </is>
      </c>
      <c r="C411" s="34" t="inlineStr">
        <is>
          <t>2031-03-30</t>
        </is>
      </c>
      <c r="D411" s="11">
        <f>G410</f>
        <v/>
      </c>
      <c r="E411" s="11">
        <f>MAX(0,D411*0.0077083333333333335)</f>
        <v/>
      </c>
      <c r="F411" s="11">
        <f>MAX(0,MIN(D411,44443.39-E411))</f>
        <v/>
      </c>
      <c r="G411" s="11">
        <f>MAX(0,D411-F411)</f>
        <v/>
      </c>
      <c r="H411" s="11">
        <f>H410+E411</f>
        <v/>
      </c>
      <c r="I411" s="11">
        <f>I410+F411</f>
        <v/>
      </c>
    </row>
    <row r="412">
      <c r="A412" s="34" t="n">
        <v>65</v>
      </c>
      <c r="B412" s="34" t="inlineStr">
        <is>
          <t>Apr</t>
        </is>
      </c>
      <c r="C412" s="34" t="inlineStr">
        <is>
          <t>2031-04-30</t>
        </is>
      </c>
      <c r="D412" s="11">
        <f>G411</f>
        <v/>
      </c>
      <c r="E412" s="11">
        <f>MAX(0,D412*0.0077083333333333335)</f>
        <v/>
      </c>
      <c r="F412" s="11">
        <f>MAX(0,MIN(D412,44443.39-E412))</f>
        <v/>
      </c>
      <c r="G412" s="11">
        <f>MAX(0,D412-F412)</f>
        <v/>
      </c>
      <c r="H412" s="11">
        <f>H411+E412</f>
        <v/>
      </c>
      <c r="I412" s="11">
        <f>I411+F412</f>
        <v/>
      </c>
    </row>
    <row r="413">
      <c r="A413" s="34" t="n">
        <v>66</v>
      </c>
      <c r="B413" s="34" t="inlineStr">
        <is>
          <t>May</t>
        </is>
      </c>
      <c r="C413" s="34" t="inlineStr">
        <is>
          <t>2031-05-30</t>
        </is>
      </c>
      <c r="D413" s="11">
        <f>G412</f>
        <v/>
      </c>
      <c r="E413" s="11">
        <f>MAX(0,D413*0.0077083333333333335)</f>
        <v/>
      </c>
      <c r="F413" s="11">
        <f>MAX(0,MIN(D413,44443.39-E413))</f>
        <v/>
      </c>
      <c r="G413" s="11">
        <f>MAX(0,D413-F413)</f>
        <v/>
      </c>
      <c r="H413" s="11">
        <f>H412+E413</f>
        <v/>
      </c>
      <c r="I413" s="11">
        <f>I412+F413</f>
        <v/>
      </c>
    </row>
    <row r="414">
      <c r="A414" s="34" t="n">
        <v>67</v>
      </c>
      <c r="B414" s="34" t="inlineStr">
        <is>
          <t>Jun</t>
        </is>
      </c>
      <c r="C414" s="34" t="inlineStr">
        <is>
          <t>2031-06-30</t>
        </is>
      </c>
      <c r="D414" s="11">
        <f>G413</f>
        <v/>
      </c>
      <c r="E414" s="11">
        <f>MAX(0,D414*0.0077083333333333335)</f>
        <v/>
      </c>
      <c r="F414" s="11">
        <f>MAX(0,MIN(D414,44443.39-E414))</f>
        <v/>
      </c>
      <c r="G414" s="11">
        <f>MAX(0,D414-F414)</f>
        <v/>
      </c>
      <c r="H414" s="11">
        <f>H413+E414</f>
        <v/>
      </c>
      <c r="I414" s="11">
        <f>I413+F414</f>
        <v/>
      </c>
    </row>
    <row r="415">
      <c r="A415" s="34" t="n">
        <v>68</v>
      </c>
      <c r="B415" s="34" t="inlineStr">
        <is>
          <t>Jul</t>
        </is>
      </c>
      <c r="C415" s="34" t="inlineStr">
        <is>
          <t>2031-07-30</t>
        </is>
      </c>
      <c r="D415" s="11">
        <f>G414</f>
        <v/>
      </c>
      <c r="E415" s="11">
        <f>MAX(0,D415*0.0077083333333333335)</f>
        <v/>
      </c>
      <c r="F415" s="11">
        <f>MAX(0,MIN(D415,44443.39-E415))</f>
        <v/>
      </c>
      <c r="G415" s="11">
        <f>MAX(0,D415-F415)</f>
        <v/>
      </c>
      <c r="H415" s="11">
        <f>H414+E415</f>
        <v/>
      </c>
      <c r="I415" s="11">
        <f>I414+F415</f>
        <v/>
      </c>
    </row>
    <row r="416">
      <c r="A416" s="34" t="n">
        <v>69</v>
      </c>
      <c r="B416" s="34" t="inlineStr">
        <is>
          <t>Aug</t>
        </is>
      </c>
      <c r="C416" s="34" t="inlineStr">
        <is>
          <t>2031-08-30</t>
        </is>
      </c>
      <c r="D416" s="11">
        <f>G415</f>
        <v/>
      </c>
      <c r="E416" s="11">
        <f>MAX(0,D416*0.0077083333333333335)</f>
        <v/>
      </c>
      <c r="F416" s="11">
        <f>MAX(0,MIN(D416,44443.39-E416))</f>
        <v/>
      </c>
      <c r="G416" s="11">
        <f>MAX(0,D416-F416)</f>
        <v/>
      </c>
      <c r="H416" s="11">
        <f>H415+E416</f>
        <v/>
      </c>
      <c r="I416" s="11">
        <f>I415+F416</f>
        <v/>
      </c>
    </row>
    <row r="417">
      <c r="A417" s="34" t="n">
        <v>70</v>
      </c>
      <c r="B417" s="34" t="inlineStr">
        <is>
          <t>Sep</t>
        </is>
      </c>
      <c r="C417" s="34" t="inlineStr">
        <is>
          <t>2031-09-30</t>
        </is>
      </c>
      <c r="D417" s="11">
        <f>G416</f>
        <v/>
      </c>
      <c r="E417" s="11">
        <f>MAX(0,D417*0.0077083333333333335)</f>
        <v/>
      </c>
      <c r="F417" s="11">
        <f>MAX(0,MIN(D417,44443.39-E417))</f>
        <v/>
      </c>
      <c r="G417" s="11">
        <f>MAX(0,D417-F417)</f>
        <v/>
      </c>
      <c r="H417" s="11">
        <f>H416+E417</f>
        <v/>
      </c>
      <c r="I417" s="11">
        <f>I416+F417</f>
        <v/>
      </c>
    </row>
    <row r="418">
      <c r="A418" s="34" t="n">
        <v>71</v>
      </c>
      <c r="B418" s="34" t="inlineStr">
        <is>
          <t>Oct</t>
        </is>
      </c>
      <c r="C418" s="34" t="inlineStr">
        <is>
          <t>2031-10-30</t>
        </is>
      </c>
      <c r="D418" s="11">
        <f>G417</f>
        <v/>
      </c>
      <c r="E418" s="11">
        <f>MAX(0,D418*0.0077083333333333335)</f>
        <v/>
      </c>
      <c r="F418" s="11">
        <f>MAX(0,MIN(D418,44443.39-E418))</f>
        <v/>
      </c>
      <c r="G418" s="11">
        <f>MAX(0,D418-F418)</f>
        <v/>
      </c>
      <c r="H418" s="11">
        <f>H417+E418</f>
        <v/>
      </c>
      <c r="I418" s="11">
        <f>I417+F418</f>
        <v/>
      </c>
    </row>
    <row r="419">
      <c r="A419" s="73" t="n"/>
      <c r="B419" s="74" t="inlineStr">
        <is>
          <t>TOTAL</t>
        </is>
      </c>
      <c r="C419" s="73" t="n"/>
      <c r="D419" s="73" t="n"/>
      <c r="E419" s="77">
        <f>SUM(E348:E418)</f>
        <v/>
      </c>
      <c r="F419" s="77">
        <f>SUM(F348:F418)</f>
        <v/>
      </c>
      <c r="G419" s="73" t="n"/>
      <c r="H419" s="73" t="n"/>
      <c r="I419" s="73" t="n"/>
    </row>
    <row r="422">
      <c r="A422" s="39" t="inlineStr">
        <is>
          <t>LOAN 6: FPG (FIRST PACIFIC GROUP)</t>
        </is>
      </c>
    </row>
    <row r="423">
      <c r="B423" s="20" t="inlineStr">
        <is>
          <t>Loan ID</t>
        </is>
      </c>
      <c r="C423" t="inlineStr">
        <is>
          <t>07-2920-000-104-00</t>
        </is>
      </c>
    </row>
    <row r="424">
      <c r="B424" s="20" t="inlineStr">
        <is>
          <t>Account #</t>
        </is>
      </c>
      <c r="C424" t="inlineStr">
        <is>
          <t>2084454</t>
        </is>
      </c>
    </row>
    <row r="425">
      <c r="B425" s="20" t="inlineStr">
        <is>
          <t>Description</t>
        </is>
      </c>
      <c r="C425" t="inlineStr">
        <is>
          <t>Houston WHS Container Forklift (Aug 2025)</t>
        </is>
      </c>
    </row>
    <row r="426">
      <c r="B426" s="20" t="inlineStr">
        <is>
          <t>Origination Date</t>
        </is>
      </c>
      <c r="C426" t="inlineStr">
        <is>
          <t>2025-08-16</t>
        </is>
      </c>
    </row>
    <row r="427">
      <c r="B427" s="20" t="inlineStr">
        <is>
          <t>Maturity Date</t>
        </is>
      </c>
      <c r="C427" t="inlineStr">
        <is>
          <t>2028-08-01</t>
        </is>
      </c>
    </row>
    <row r="428">
      <c r="B428" s="20" t="inlineStr">
        <is>
          <t>Opening Balance</t>
        </is>
      </c>
      <c r="C428" s="3" t="n">
        <v>31948.58</v>
      </c>
    </row>
    <row r="429">
      <c r="B429" s="20" t="inlineStr">
        <is>
          <t>Remaining Balance (Nov 2025)</t>
        </is>
      </c>
      <c r="C429" s="3" t="n">
        <v>29654</v>
      </c>
    </row>
    <row r="430">
      <c r="B430" s="20" t="inlineStr">
        <is>
          <t>Annual Interest Rate</t>
        </is>
      </c>
      <c r="C430" t="inlineStr">
        <is>
          <t>12.23%</t>
        </is>
      </c>
    </row>
    <row r="431">
      <c r="B431" s="20" t="inlineStr">
        <is>
          <t>Monthly Payment</t>
        </is>
      </c>
      <c r="C431" s="3" t="n">
        <v>1064.65</v>
      </c>
    </row>
    <row r="432">
      <c r="B432" s="20" t="inlineStr">
        <is>
          <t>Loan Type</t>
        </is>
      </c>
      <c r="C432" t="inlineStr">
        <is>
          <t>AMORTIZING</t>
        </is>
      </c>
    </row>
    <row r="433">
      <c r="B433" s="20" t="inlineStr">
        <is>
          <t>Use</t>
        </is>
      </c>
      <c r="C433" t="inlineStr">
        <is>
          <t>Equipment (Forklift)</t>
        </is>
      </c>
    </row>
    <row r="434">
      <c r="B434" s="20" t="inlineStr">
        <is>
          <t>Source</t>
        </is>
      </c>
      <c r="C434" t="inlineStr">
        <is>
          <t>Meiborg_Debt_Schedule_202511.xlsx</t>
        </is>
      </c>
    </row>
    <row r="436">
      <c r="A436" s="76" t="inlineStr">
        <is>
          <t>AMORTIZATION SCHEDULE</t>
        </is>
      </c>
    </row>
    <row r="437">
      <c r="A437" s="71" t="inlineStr">
        <is>
          <t>#</t>
        </is>
      </c>
      <c r="B437" s="71" t="inlineStr">
        <is>
          <t>Month</t>
        </is>
      </c>
      <c r="C437" s="71" t="inlineStr">
        <is>
          <t>Date</t>
        </is>
      </c>
      <c r="D437" s="71" t="inlineStr">
        <is>
          <t>Opening</t>
        </is>
      </c>
      <c r="E437" s="71" t="inlineStr">
        <is>
          <t>Interest</t>
        </is>
      </c>
      <c r="F437" s="71" t="inlineStr">
        <is>
          <t>Principal</t>
        </is>
      </c>
      <c r="G437" s="71" t="inlineStr">
        <is>
          <t>Closing</t>
        </is>
      </c>
      <c r="H437" s="71" t="inlineStr">
        <is>
          <t>Cum Int</t>
        </is>
      </c>
      <c r="I437" s="71" t="inlineStr">
        <is>
          <t>Cum Prin</t>
        </is>
      </c>
    </row>
    <row r="438">
      <c r="A438" s="34" t="n">
        <v>1</v>
      </c>
      <c r="B438" s="34" t="inlineStr">
        <is>
          <t>Dec</t>
        </is>
      </c>
      <c r="C438" s="34" t="inlineStr">
        <is>
          <t>2025-12-30</t>
        </is>
      </c>
      <c r="D438" s="11" t="n">
        <v>29654</v>
      </c>
      <c r="E438" s="11">
        <f>MAX(0,D438*0.010191666666666667)</f>
        <v/>
      </c>
      <c r="F438" s="11">
        <f>MAX(0,MIN(D438,1064.65-E438))</f>
        <v/>
      </c>
      <c r="G438" s="11">
        <f>MAX(0,D438-F438)</f>
        <v/>
      </c>
      <c r="H438" s="11">
        <f>E438</f>
        <v/>
      </c>
      <c r="I438" s="11">
        <f>F438</f>
        <v/>
      </c>
    </row>
    <row r="439">
      <c r="A439" s="34" t="n">
        <v>2</v>
      </c>
      <c r="B439" s="34" t="inlineStr">
        <is>
          <t>Jan</t>
        </is>
      </c>
      <c r="C439" s="34" t="inlineStr">
        <is>
          <t>2026-01-30</t>
        </is>
      </c>
      <c r="D439" s="11">
        <f>G438</f>
        <v/>
      </c>
      <c r="E439" s="11">
        <f>MAX(0,D439*0.010191666666666667)</f>
        <v/>
      </c>
      <c r="F439" s="11">
        <f>MAX(0,MIN(D439,1064.65-E439))</f>
        <v/>
      </c>
      <c r="G439" s="11">
        <f>MAX(0,D439-F439)</f>
        <v/>
      </c>
      <c r="H439" s="11">
        <f>H438+E439</f>
        <v/>
      </c>
      <c r="I439" s="11">
        <f>I438+F439</f>
        <v/>
      </c>
    </row>
    <row r="440">
      <c r="A440" s="34" t="n">
        <v>3</v>
      </c>
      <c r="B440" s="34" t="inlineStr">
        <is>
          <t>Feb</t>
        </is>
      </c>
      <c r="C440" s="34" t="inlineStr">
        <is>
          <t>2026-02-28</t>
        </is>
      </c>
      <c r="D440" s="11">
        <f>G439</f>
        <v/>
      </c>
      <c r="E440" s="11">
        <f>MAX(0,D440*0.010191666666666667)</f>
        <v/>
      </c>
      <c r="F440" s="11">
        <f>MAX(0,MIN(D440,1064.65-E440))</f>
        <v/>
      </c>
      <c r="G440" s="11">
        <f>MAX(0,D440-F440)</f>
        <v/>
      </c>
      <c r="H440" s="11">
        <f>H439+E440</f>
        <v/>
      </c>
      <c r="I440" s="11">
        <f>I439+F440</f>
        <v/>
      </c>
    </row>
    <row r="441">
      <c r="A441" s="34" t="n">
        <v>4</v>
      </c>
      <c r="B441" s="34" t="inlineStr">
        <is>
          <t>Mar</t>
        </is>
      </c>
      <c r="C441" s="34" t="inlineStr">
        <is>
          <t>2026-03-30</t>
        </is>
      </c>
      <c r="D441" s="11">
        <f>G440</f>
        <v/>
      </c>
      <c r="E441" s="11">
        <f>MAX(0,D441*0.010191666666666667)</f>
        <v/>
      </c>
      <c r="F441" s="11">
        <f>MAX(0,MIN(D441,1064.65-E441))</f>
        <v/>
      </c>
      <c r="G441" s="11">
        <f>MAX(0,D441-F441)</f>
        <v/>
      </c>
      <c r="H441" s="11">
        <f>H440+E441</f>
        <v/>
      </c>
      <c r="I441" s="11">
        <f>I440+F441</f>
        <v/>
      </c>
    </row>
    <row r="442">
      <c r="A442" s="34" t="n">
        <v>5</v>
      </c>
      <c r="B442" s="34" t="inlineStr">
        <is>
          <t>Apr</t>
        </is>
      </c>
      <c r="C442" s="34" t="inlineStr">
        <is>
          <t>2026-04-30</t>
        </is>
      </c>
      <c r="D442" s="11">
        <f>G441</f>
        <v/>
      </c>
      <c r="E442" s="11">
        <f>MAX(0,D442*0.010191666666666667)</f>
        <v/>
      </c>
      <c r="F442" s="11">
        <f>MAX(0,MIN(D442,1064.65-E442))</f>
        <v/>
      </c>
      <c r="G442" s="11">
        <f>MAX(0,D442-F442)</f>
        <v/>
      </c>
      <c r="H442" s="11">
        <f>H441+E442</f>
        <v/>
      </c>
      <c r="I442" s="11">
        <f>I441+F442</f>
        <v/>
      </c>
    </row>
    <row r="443">
      <c r="A443" s="34" t="n">
        <v>6</v>
      </c>
      <c r="B443" s="34" t="inlineStr">
        <is>
          <t>May</t>
        </is>
      </c>
      <c r="C443" s="34" t="inlineStr">
        <is>
          <t>2026-05-30</t>
        </is>
      </c>
      <c r="D443" s="11">
        <f>G442</f>
        <v/>
      </c>
      <c r="E443" s="11">
        <f>MAX(0,D443*0.010191666666666667)</f>
        <v/>
      </c>
      <c r="F443" s="11">
        <f>MAX(0,MIN(D443,1064.65-E443))</f>
        <v/>
      </c>
      <c r="G443" s="11">
        <f>MAX(0,D443-F443)</f>
        <v/>
      </c>
      <c r="H443" s="11">
        <f>H442+E443</f>
        <v/>
      </c>
      <c r="I443" s="11">
        <f>I442+F443</f>
        <v/>
      </c>
    </row>
    <row r="444">
      <c r="A444" s="34" t="n">
        <v>7</v>
      </c>
      <c r="B444" s="34" t="inlineStr">
        <is>
          <t>Jun</t>
        </is>
      </c>
      <c r="C444" s="34" t="inlineStr">
        <is>
          <t>2026-06-30</t>
        </is>
      </c>
      <c r="D444" s="11">
        <f>G443</f>
        <v/>
      </c>
      <c r="E444" s="11">
        <f>MAX(0,D444*0.010191666666666667)</f>
        <v/>
      </c>
      <c r="F444" s="11">
        <f>MAX(0,MIN(D444,1064.65-E444))</f>
        <v/>
      </c>
      <c r="G444" s="11">
        <f>MAX(0,D444-F444)</f>
        <v/>
      </c>
      <c r="H444" s="11">
        <f>H443+E444</f>
        <v/>
      </c>
      <c r="I444" s="11">
        <f>I443+F444</f>
        <v/>
      </c>
    </row>
    <row r="445">
      <c r="A445" s="34" t="n">
        <v>8</v>
      </c>
      <c r="B445" s="34" t="inlineStr">
        <is>
          <t>Jul</t>
        </is>
      </c>
      <c r="C445" s="34" t="inlineStr">
        <is>
          <t>2026-07-30</t>
        </is>
      </c>
      <c r="D445" s="11">
        <f>G444</f>
        <v/>
      </c>
      <c r="E445" s="11">
        <f>MAX(0,D445*0.010191666666666667)</f>
        <v/>
      </c>
      <c r="F445" s="11">
        <f>MAX(0,MIN(D445,1064.65-E445))</f>
        <v/>
      </c>
      <c r="G445" s="11">
        <f>MAX(0,D445-F445)</f>
        <v/>
      </c>
      <c r="H445" s="11">
        <f>H444+E445</f>
        <v/>
      </c>
      <c r="I445" s="11">
        <f>I444+F445</f>
        <v/>
      </c>
    </row>
    <row r="446">
      <c r="A446" s="34" t="n">
        <v>9</v>
      </c>
      <c r="B446" s="34" t="inlineStr">
        <is>
          <t>Aug</t>
        </is>
      </c>
      <c r="C446" s="34" t="inlineStr">
        <is>
          <t>2026-08-30</t>
        </is>
      </c>
      <c r="D446" s="11">
        <f>G445</f>
        <v/>
      </c>
      <c r="E446" s="11">
        <f>MAX(0,D446*0.010191666666666667)</f>
        <v/>
      </c>
      <c r="F446" s="11">
        <f>MAX(0,MIN(D446,1064.65-E446))</f>
        <v/>
      </c>
      <c r="G446" s="11">
        <f>MAX(0,D446-F446)</f>
        <v/>
      </c>
      <c r="H446" s="11">
        <f>H445+E446</f>
        <v/>
      </c>
      <c r="I446" s="11">
        <f>I445+F446</f>
        <v/>
      </c>
    </row>
    <row r="447">
      <c r="A447" s="34" t="n">
        <v>10</v>
      </c>
      <c r="B447" s="34" t="inlineStr">
        <is>
          <t>Sep</t>
        </is>
      </c>
      <c r="C447" s="34" t="inlineStr">
        <is>
          <t>2026-09-30</t>
        </is>
      </c>
      <c r="D447" s="11">
        <f>G446</f>
        <v/>
      </c>
      <c r="E447" s="11">
        <f>MAX(0,D447*0.010191666666666667)</f>
        <v/>
      </c>
      <c r="F447" s="11">
        <f>MAX(0,MIN(D447,1064.65-E447))</f>
        <v/>
      </c>
      <c r="G447" s="11">
        <f>MAX(0,D447-F447)</f>
        <v/>
      </c>
      <c r="H447" s="11">
        <f>H446+E447</f>
        <v/>
      </c>
      <c r="I447" s="11">
        <f>I446+F447</f>
        <v/>
      </c>
    </row>
    <row r="448">
      <c r="A448" s="34" t="n">
        <v>11</v>
      </c>
      <c r="B448" s="34" t="inlineStr">
        <is>
          <t>Oct</t>
        </is>
      </c>
      <c r="C448" s="34" t="inlineStr">
        <is>
          <t>2026-10-30</t>
        </is>
      </c>
      <c r="D448" s="11">
        <f>G447</f>
        <v/>
      </c>
      <c r="E448" s="11">
        <f>MAX(0,D448*0.010191666666666667)</f>
        <v/>
      </c>
      <c r="F448" s="11">
        <f>MAX(0,MIN(D448,1064.65-E448))</f>
        <v/>
      </c>
      <c r="G448" s="11">
        <f>MAX(0,D448-F448)</f>
        <v/>
      </c>
      <c r="H448" s="11">
        <f>H447+E448</f>
        <v/>
      </c>
      <c r="I448" s="11">
        <f>I447+F448</f>
        <v/>
      </c>
    </row>
    <row r="449">
      <c r="A449" s="34" t="n">
        <v>12</v>
      </c>
      <c r="B449" s="34" t="inlineStr">
        <is>
          <t>Nov</t>
        </is>
      </c>
      <c r="C449" s="34" t="inlineStr">
        <is>
          <t>2026-11-30</t>
        </is>
      </c>
      <c r="D449" s="11">
        <f>G448</f>
        <v/>
      </c>
      <c r="E449" s="11">
        <f>MAX(0,D449*0.010191666666666667)</f>
        <v/>
      </c>
      <c r="F449" s="11">
        <f>MAX(0,MIN(D449,1064.65-E449))</f>
        <v/>
      </c>
      <c r="G449" s="11">
        <f>MAX(0,D449-F449)</f>
        <v/>
      </c>
      <c r="H449" s="11">
        <f>H448+E449</f>
        <v/>
      </c>
      <c r="I449" s="11">
        <f>I448+F449</f>
        <v/>
      </c>
    </row>
    <row r="450">
      <c r="A450" s="34" t="n">
        <v>13</v>
      </c>
      <c r="B450" s="34" t="inlineStr">
        <is>
          <t>Dec</t>
        </is>
      </c>
      <c r="C450" s="34" t="inlineStr">
        <is>
          <t>2026-12-30</t>
        </is>
      </c>
      <c r="D450" s="11">
        <f>G449</f>
        <v/>
      </c>
      <c r="E450" s="11">
        <f>MAX(0,D450*0.010191666666666667)</f>
        <v/>
      </c>
      <c r="F450" s="11">
        <f>MAX(0,MIN(D450,1064.65-E450))</f>
        <v/>
      </c>
      <c r="G450" s="11">
        <f>MAX(0,D450-F450)</f>
        <v/>
      </c>
      <c r="H450" s="11">
        <f>H449+E450</f>
        <v/>
      </c>
      <c r="I450" s="11">
        <f>I449+F450</f>
        <v/>
      </c>
    </row>
    <row r="451">
      <c r="A451" s="34" t="n">
        <v>14</v>
      </c>
      <c r="B451" s="34" t="inlineStr">
        <is>
          <t>Jan</t>
        </is>
      </c>
      <c r="C451" s="34" t="inlineStr">
        <is>
          <t>2027-01-30</t>
        </is>
      </c>
      <c r="D451" s="11">
        <f>G450</f>
        <v/>
      </c>
      <c r="E451" s="11">
        <f>MAX(0,D451*0.010191666666666667)</f>
        <v/>
      </c>
      <c r="F451" s="11">
        <f>MAX(0,MIN(D451,1064.65-E451))</f>
        <v/>
      </c>
      <c r="G451" s="11">
        <f>MAX(0,D451-F451)</f>
        <v/>
      </c>
      <c r="H451" s="11">
        <f>H450+E451</f>
        <v/>
      </c>
      <c r="I451" s="11">
        <f>I450+F451</f>
        <v/>
      </c>
    </row>
    <row r="452">
      <c r="A452" s="34" t="n">
        <v>15</v>
      </c>
      <c r="B452" s="34" t="inlineStr">
        <is>
          <t>Feb</t>
        </is>
      </c>
      <c r="C452" s="34" t="inlineStr">
        <is>
          <t>2027-02-28</t>
        </is>
      </c>
      <c r="D452" s="11">
        <f>G451</f>
        <v/>
      </c>
      <c r="E452" s="11">
        <f>MAX(0,D452*0.010191666666666667)</f>
        <v/>
      </c>
      <c r="F452" s="11">
        <f>MAX(0,MIN(D452,1064.65-E452))</f>
        <v/>
      </c>
      <c r="G452" s="11">
        <f>MAX(0,D452-F452)</f>
        <v/>
      </c>
      <c r="H452" s="11">
        <f>H451+E452</f>
        <v/>
      </c>
      <c r="I452" s="11">
        <f>I451+F452</f>
        <v/>
      </c>
    </row>
    <row r="453">
      <c r="A453" s="34" t="n">
        <v>16</v>
      </c>
      <c r="B453" s="34" t="inlineStr">
        <is>
          <t>Mar</t>
        </is>
      </c>
      <c r="C453" s="34" t="inlineStr">
        <is>
          <t>2027-03-30</t>
        </is>
      </c>
      <c r="D453" s="11">
        <f>G452</f>
        <v/>
      </c>
      <c r="E453" s="11">
        <f>MAX(0,D453*0.010191666666666667)</f>
        <v/>
      </c>
      <c r="F453" s="11">
        <f>MAX(0,MIN(D453,1064.65-E453))</f>
        <v/>
      </c>
      <c r="G453" s="11">
        <f>MAX(0,D453-F453)</f>
        <v/>
      </c>
      <c r="H453" s="11">
        <f>H452+E453</f>
        <v/>
      </c>
      <c r="I453" s="11">
        <f>I452+F453</f>
        <v/>
      </c>
    </row>
    <row r="454">
      <c r="A454" s="34" t="n">
        <v>17</v>
      </c>
      <c r="B454" s="34" t="inlineStr">
        <is>
          <t>Apr</t>
        </is>
      </c>
      <c r="C454" s="34" t="inlineStr">
        <is>
          <t>2027-04-30</t>
        </is>
      </c>
      <c r="D454" s="11">
        <f>G453</f>
        <v/>
      </c>
      <c r="E454" s="11">
        <f>MAX(0,D454*0.010191666666666667)</f>
        <v/>
      </c>
      <c r="F454" s="11">
        <f>MAX(0,MIN(D454,1064.65-E454))</f>
        <v/>
      </c>
      <c r="G454" s="11">
        <f>MAX(0,D454-F454)</f>
        <v/>
      </c>
      <c r="H454" s="11">
        <f>H453+E454</f>
        <v/>
      </c>
      <c r="I454" s="11">
        <f>I453+F454</f>
        <v/>
      </c>
    </row>
    <row r="455">
      <c r="A455" s="34" t="n">
        <v>18</v>
      </c>
      <c r="B455" s="34" t="inlineStr">
        <is>
          <t>May</t>
        </is>
      </c>
      <c r="C455" s="34" t="inlineStr">
        <is>
          <t>2027-05-30</t>
        </is>
      </c>
      <c r="D455" s="11">
        <f>G454</f>
        <v/>
      </c>
      <c r="E455" s="11">
        <f>MAX(0,D455*0.010191666666666667)</f>
        <v/>
      </c>
      <c r="F455" s="11">
        <f>MAX(0,MIN(D455,1064.65-E455))</f>
        <v/>
      </c>
      <c r="G455" s="11">
        <f>MAX(0,D455-F455)</f>
        <v/>
      </c>
      <c r="H455" s="11">
        <f>H454+E455</f>
        <v/>
      </c>
      <c r="I455" s="11">
        <f>I454+F455</f>
        <v/>
      </c>
    </row>
    <row r="456">
      <c r="A456" s="34" t="n">
        <v>19</v>
      </c>
      <c r="B456" s="34" t="inlineStr">
        <is>
          <t>Jun</t>
        </is>
      </c>
      <c r="C456" s="34" t="inlineStr">
        <is>
          <t>2027-06-30</t>
        </is>
      </c>
      <c r="D456" s="11">
        <f>G455</f>
        <v/>
      </c>
      <c r="E456" s="11">
        <f>MAX(0,D456*0.010191666666666667)</f>
        <v/>
      </c>
      <c r="F456" s="11">
        <f>MAX(0,MIN(D456,1064.65-E456))</f>
        <v/>
      </c>
      <c r="G456" s="11">
        <f>MAX(0,D456-F456)</f>
        <v/>
      </c>
      <c r="H456" s="11">
        <f>H455+E456</f>
        <v/>
      </c>
      <c r="I456" s="11">
        <f>I455+F456</f>
        <v/>
      </c>
    </row>
    <row r="457">
      <c r="A457" s="34" t="n">
        <v>20</v>
      </c>
      <c r="B457" s="34" t="inlineStr">
        <is>
          <t>Jul</t>
        </is>
      </c>
      <c r="C457" s="34" t="inlineStr">
        <is>
          <t>2027-07-30</t>
        </is>
      </c>
      <c r="D457" s="11">
        <f>G456</f>
        <v/>
      </c>
      <c r="E457" s="11">
        <f>MAX(0,D457*0.010191666666666667)</f>
        <v/>
      </c>
      <c r="F457" s="11">
        <f>MAX(0,MIN(D457,1064.65-E457))</f>
        <v/>
      </c>
      <c r="G457" s="11">
        <f>MAX(0,D457-F457)</f>
        <v/>
      </c>
      <c r="H457" s="11">
        <f>H456+E457</f>
        <v/>
      </c>
      <c r="I457" s="11">
        <f>I456+F457</f>
        <v/>
      </c>
    </row>
    <row r="458">
      <c r="A458" s="34" t="n">
        <v>21</v>
      </c>
      <c r="B458" s="34" t="inlineStr">
        <is>
          <t>Aug</t>
        </is>
      </c>
      <c r="C458" s="34" t="inlineStr">
        <is>
          <t>2027-08-30</t>
        </is>
      </c>
      <c r="D458" s="11">
        <f>G457</f>
        <v/>
      </c>
      <c r="E458" s="11">
        <f>MAX(0,D458*0.010191666666666667)</f>
        <v/>
      </c>
      <c r="F458" s="11">
        <f>MAX(0,MIN(D458,1064.65-E458))</f>
        <v/>
      </c>
      <c r="G458" s="11">
        <f>MAX(0,D458-F458)</f>
        <v/>
      </c>
      <c r="H458" s="11">
        <f>H457+E458</f>
        <v/>
      </c>
      <c r="I458" s="11">
        <f>I457+F458</f>
        <v/>
      </c>
    </row>
    <row r="459">
      <c r="A459" s="34" t="n">
        <v>22</v>
      </c>
      <c r="B459" s="34" t="inlineStr">
        <is>
          <t>Sep</t>
        </is>
      </c>
      <c r="C459" s="34" t="inlineStr">
        <is>
          <t>2027-09-30</t>
        </is>
      </c>
      <c r="D459" s="11">
        <f>G458</f>
        <v/>
      </c>
      <c r="E459" s="11">
        <f>MAX(0,D459*0.010191666666666667)</f>
        <v/>
      </c>
      <c r="F459" s="11">
        <f>MAX(0,MIN(D459,1064.65-E459))</f>
        <v/>
      </c>
      <c r="G459" s="11">
        <f>MAX(0,D459-F459)</f>
        <v/>
      </c>
      <c r="H459" s="11">
        <f>H458+E459</f>
        <v/>
      </c>
      <c r="I459" s="11">
        <f>I458+F459</f>
        <v/>
      </c>
    </row>
    <row r="460">
      <c r="A460" s="34" t="n">
        <v>23</v>
      </c>
      <c r="B460" s="34" t="inlineStr">
        <is>
          <t>Oct</t>
        </is>
      </c>
      <c r="C460" s="34" t="inlineStr">
        <is>
          <t>2027-10-30</t>
        </is>
      </c>
      <c r="D460" s="11">
        <f>G459</f>
        <v/>
      </c>
      <c r="E460" s="11">
        <f>MAX(0,D460*0.010191666666666667)</f>
        <v/>
      </c>
      <c r="F460" s="11">
        <f>MAX(0,MIN(D460,1064.65-E460))</f>
        <v/>
      </c>
      <c r="G460" s="11">
        <f>MAX(0,D460-F460)</f>
        <v/>
      </c>
      <c r="H460" s="11">
        <f>H459+E460</f>
        <v/>
      </c>
      <c r="I460" s="11">
        <f>I459+F460</f>
        <v/>
      </c>
    </row>
    <row r="461">
      <c r="A461" s="34" t="n">
        <v>24</v>
      </c>
      <c r="B461" s="34" t="inlineStr">
        <is>
          <t>Nov</t>
        </is>
      </c>
      <c r="C461" s="34" t="inlineStr">
        <is>
          <t>2027-11-30</t>
        </is>
      </c>
      <c r="D461" s="11">
        <f>G460</f>
        <v/>
      </c>
      <c r="E461" s="11">
        <f>MAX(0,D461*0.010191666666666667)</f>
        <v/>
      </c>
      <c r="F461" s="11">
        <f>MAX(0,MIN(D461,1064.65-E461))</f>
        <v/>
      </c>
      <c r="G461" s="11">
        <f>MAX(0,D461-F461)</f>
        <v/>
      </c>
      <c r="H461" s="11">
        <f>H460+E461</f>
        <v/>
      </c>
      <c r="I461" s="11">
        <f>I460+F461</f>
        <v/>
      </c>
    </row>
    <row r="462">
      <c r="A462" s="34" t="n">
        <v>25</v>
      </c>
      <c r="B462" s="34" t="inlineStr">
        <is>
          <t>Dec</t>
        </is>
      </c>
      <c r="C462" s="34" t="inlineStr">
        <is>
          <t>2027-12-30</t>
        </is>
      </c>
      <c r="D462" s="11">
        <f>G461</f>
        <v/>
      </c>
      <c r="E462" s="11">
        <f>MAX(0,D462*0.010191666666666667)</f>
        <v/>
      </c>
      <c r="F462" s="11">
        <f>MAX(0,MIN(D462,1064.65-E462))</f>
        <v/>
      </c>
      <c r="G462" s="11">
        <f>MAX(0,D462-F462)</f>
        <v/>
      </c>
      <c r="H462" s="11">
        <f>H461+E462</f>
        <v/>
      </c>
      <c r="I462" s="11">
        <f>I461+F462</f>
        <v/>
      </c>
    </row>
    <row r="463">
      <c r="A463" s="34" t="n">
        <v>26</v>
      </c>
      <c r="B463" s="34" t="inlineStr">
        <is>
          <t>Jan</t>
        </is>
      </c>
      <c r="C463" s="34" t="inlineStr">
        <is>
          <t>2028-01-30</t>
        </is>
      </c>
      <c r="D463" s="11">
        <f>G462</f>
        <v/>
      </c>
      <c r="E463" s="11">
        <f>MAX(0,D463*0.010191666666666667)</f>
        <v/>
      </c>
      <c r="F463" s="11">
        <f>MAX(0,MIN(D463,1064.65-E463))</f>
        <v/>
      </c>
      <c r="G463" s="11">
        <f>MAX(0,D463-F463)</f>
        <v/>
      </c>
      <c r="H463" s="11">
        <f>H462+E463</f>
        <v/>
      </c>
      <c r="I463" s="11">
        <f>I462+F463</f>
        <v/>
      </c>
    </row>
    <row r="464">
      <c r="A464" s="34" t="n">
        <v>27</v>
      </c>
      <c r="B464" s="34" t="inlineStr">
        <is>
          <t>Feb</t>
        </is>
      </c>
      <c r="C464" s="34" t="inlineStr">
        <is>
          <t>2028-02-29</t>
        </is>
      </c>
      <c r="D464" s="11">
        <f>G463</f>
        <v/>
      </c>
      <c r="E464" s="11">
        <f>MAX(0,D464*0.010191666666666667)</f>
        <v/>
      </c>
      <c r="F464" s="11">
        <f>MAX(0,MIN(D464,1064.65-E464))</f>
        <v/>
      </c>
      <c r="G464" s="11">
        <f>MAX(0,D464-F464)</f>
        <v/>
      </c>
      <c r="H464" s="11">
        <f>H463+E464</f>
        <v/>
      </c>
      <c r="I464" s="11">
        <f>I463+F464</f>
        <v/>
      </c>
    </row>
    <row r="465">
      <c r="A465" s="34" t="n">
        <v>28</v>
      </c>
      <c r="B465" s="34" t="inlineStr">
        <is>
          <t>Mar</t>
        </is>
      </c>
      <c r="C465" s="34" t="inlineStr">
        <is>
          <t>2028-03-30</t>
        </is>
      </c>
      <c r="D465" s="11">
        <f>G464</f>
        <v/>
      </c>
      <c r="E465" s="11">
        <f>MAX(0,D465*0.010191666666666667)</f>
        <v/>
      </c>
      <c r="F465" s="11">
        <f>MAX(0,MIN(D465,1064.65-E465))</f>
        <v/>
      </c>
      <c r="G465" s="11">
        <f>MAX(0,D465-F465)</f>
        <v/>
      </c>
      <c r="H465" s="11">
        <f>H464+E465</f>
        <v/>
      </c>
      <c r="I465" s="11">
        <f>I464+F465</f>
        <v/>
      </c>
    </row>
    <row r="466">
      <c r="A466" s="34" t="n">
        <v>29</v>
      </c>
      <c r="B466" s="34" t="inlineStr">
        <is>
          <t>Apr</t>
        </is>
      </c>
      <c r="C466" s="34" t="inlineStr">
        <is>
          <t>2028-04-30</t>
        </is>
      </c>
      <c r="D466" s="11">
        <f>G465</f>
        <v/>
      </c>
      <c r="E466" s="11">
        <f>MAX(0,D466*0.010191666666666667)</f>
        <v/>
      </c>
      <c r="F466" s="11">
        <f>MAX(0,MIN(D466,1064.65-E466))</f>
        <v/>
      </c>
      <c r="G466" s="11">
        <f>MAX(0,D466-F466)</f>
        <v/>
      </c>
      <c r="H466" s="11">
        <f>H465+E466</f>
        <v/>
      </c>
      <c r="I466" s="11">
        <f>I465+F466</f>
        <v/>
      </c>
    </row>
    <row r="467">
      <c r="A467" s="34" t="n">
        <v>30</v>
      </c>
      <c r="B467" s="34" t="inlineStr">
        <is>
          <t>May</t>
        </is>
      </c>
      <c r="C467" s="34" t="inlineStr">
        <is>
          <t>2028-05-30</t>
        </is>
      </c>
      <c r="D467" s="11">
        <f>G466</f>
        <v/>
      </c>
      <c r="E467" s="11">
        <f>MAX(0,D467*0.010191666666666667)</f>
        <v/>
      </c>
      <c r="F467" s="11">
        <f>MAX(0,MIN(D467,1064.65-E467))</f>
        <v/>
      </c>
      <c r="G467" s="11">
        <f>MAX(0,D467-F467)</f>
        <v/>
      </c>
      <c r="H467" s="11">
        <f>H466+E467</f>
        <v/>
      </c>
      <c r="I467" s="11">
        <f>I466+F467</f>
        <v/>
      </c>
    </row>
    <row r="468">
      <c r="A468" s="34" t="n">
        <v>31</v>
      </c>
      <c r="B468" s="34" t="inlineStr">
        <is>
          <t>Jun</t>
        </is>
      </c>
      <c r="C468" s="34" t="inlineStr">
        <is>
          <t>2028-06-30</t>
        </is>
      </c>
      <c r="D468" s="11">
        <f>G467</f>
        <v/>
      </c>
      <c r="E468" s="11">
        <f>MAX(0,D468*0.010191666666666667)</f>
        <v/>
      </c>
      <c r="F468" s="11">
        <f>MAX(0,MIN(D468,1064.65-E468))</f>
        <v/>
      </c>
      <c r="G468" s="11">
        <f>MAX(0,D468-F468)</f>
        <v/>
      </c>
      <c r="H468" s="11">
        <f>H467+E468</f>
        <v/>
      </c>
      <c r="I468" s="11">
        <f>I467+F468</f>
        <v/>
      </c>
    </row>
    <row r="469">
      <c r="A469" s="34" t="n">
        <v>32</v>
      </c>
      <c r="B469" s="34" t="inlineStr">
        <is>
          <t>Jul</t>
        </is>
      </c>
      <c r="C469" s="34" t="inlineStr">
        <is>
          <t>2028-07-30</t>
        </is>
      </c>
      <c r="D469" s="11">
        <f>G468</f>
        <v/>
      </c>
      <c r="E469" s="11">
        <f>MAX(0,D469*0.010191666666666667)</f>
        <v/>
      </c>
      <c r="F469" s="11">
        <f>MAX(0,MIN(D469,1064.65-E469))</f>
        <v/>
      </c>
      <c r="G469" s="11">
        <f>MAX(0,D469-F469)</f>
        <v/>
      </c>
      <c r="H469" s="11">
        <f>H468+E469</f>
        <v/>
      </c>
      <c r="I469" s="11">
        <f>I468+F469</f>
        <v/>
      </c>
    </row>
    <row r="470">
      <c r="A470" s="34" t="n">
        <v>33</v>
      </c>
      <c r="B470" s="34" t="inlineStr">
        <is>
          <t>Aug</t>
        </is>
      </c>
      <c r="C470" s="34" t="inlineStr">
        <is>
          <t>2028-08-30</t>
        </is>
      </c>
      <c r="D470" s="11">
        <f>G469</f>
        <v/>
      </c>
      <c r="E470" s="11">
        <f>MAX(0,D470*0.010191666666666667)</f>
        <v/>
      </c>
      <c r="F470" s="11">
        <f>MAX(0,MIN(D470,1064.65-E470))</f>
        <v/>
      </c>
      <c r="G470" s="11">
        <f>MAX(0,D470-F470)</f>
        <v/>
      </c>
      <c r="H470" s="11">
        <f>H469+E470</f>
        <v/>
      </c>
      <c r="I470" s="11">
        <f>I469+F470</f>
        <v/>
      </c>
    </row>
    <row r="471">
      <c r="A471" s="34" t="n">
        <v>34</v>
      </c>
      <c r="B471" s="34" t="inlineStr">
        <is>
          <t>Sep</t>
        </is>
      </c>
      <c r="C471" s="34" t="inlineStr">
        <is>
          <t>2028-09-30</t>
        </is>
      </c>
      <c r="D471" s="11">
        <f>G470</f>
        <v/>
      </c>
      <c r="E471" s="11">
        <f>MAX(0,D471*0.010191666666666667)</f>
        <v/>
      </c>
      <c r="F471" s="11">
        <f>MAX(0,MIN(D471,1064.65-E471))</f>
        <v/>
      </c>
      <c r="G471" s="11">
        <f>MAX(0,D471-F471)</f>
        <v/>
      </c>
      <c r="H471" s="11">
        <f>H470+E471</f>
        <v/>
      </c>
      <c r="I471" s="11">
        <f>I470+F471</f>
        <v/>
      </c>
    </row>
    <row r="472">
      <c r="A472" s="73" t="n"/>
      <c r="B472" s="74" t="inlineStr">
        <is>
          <t>TOTAL</t>
        </is>
      </c>
      <c r="C472" s="73" t="n"/>
      <c r="D472" s="73" t="n"/>
      <c r="E472" s="77">
        <f>SUM(E438:E471)</f>
        <v/>
      </c>
      <c r="F472" s="77">
        <f>SUM(F438:F471)</f>
        <v/>
      </c>
      <c r="G472" s="73" t="n"/>
      <c r="H472" s="73" t="n"/>
      <c r="I472" s="73" t="n"/>
    </row>
    <row r="475">
      <c r="A475" s="39" t="inlineStr">
        <is>
          <t>LOAN 7: BANK OF AMERICA</t>
        </is>
      </c>
    </row>
    <row r="476">
      <c r="B476" s="20" t="inlineStr">
        <is>
          <t>Loan ID</t>
        </is>
      </c>
      <c r="C476" t="inlineStr">
        <is>
          <t>01-2925-000-000-00</t>
        </is>
      </c>
    </row>
    <row r="477">
      <c r="B477" s="20" t="inlineStr">
        <is>
          <t>Account #</t>
        </is>
      </c>
      <c r="C477" t="inlineStr">
        <is>
          <t>65010066140623</t>
        </is>
      </c>
    </row>
    <row r="478">
      <c r="B478" s="20" t="inlineStr">
        <is>
          <t>Description</t>
        </is>
      </c>
      <c r="C478" t="inlineStr">
        <is>
          <t>2024 Corvette (Feb 2024)</t>
        </is>
      </c>
    </row>
    <row r="479">
      <c r="B479" s="20" t="inlineStr">
        <is>
          <t>Origination Date</t>
        </is>
      </c>
      <c r="C479" t="inlineStr">
        <is>
          <t>2024-02-01</t>
        </is>
      </c>
    </row>
    <row r="480">
      <c r="B480" s="20" t="inlineStr">
        <is>
          <t>Maturity Date</t>
        </is>
      </c>
      <c r="C480" t="inlineStr">
        <is>
          <t>2028-02-01</t>
        </is>
      </c>
    </row>
    <row r="481">
      <c r="B481" s="20" t="inlineStr">
        <is>
          <t>Opening Balance</t>
        </is>
      </c>
      <c r="C481" s="3" t="n">
        <v>136493.42</v>
      </c>
    </row>
    <row r="482">
      <c r="B482" s="20" t="inlineStr">
        <is>
          <t>Remaining Balance (Nov 2025)</t>
        </is>
      </c>
      <c r="C482" s="3" t="n">
        <v>79604</v>
      </c>
    </row>
    <row r="483">
      <c r="B483" s="20" t="inlineStr">
        <is>
          <t>Annual Interest Rate</t>
        </is>
      </c>
      <c r="C483" t="inlineStr">
        <is>
          <t>8.29%</t>
        </is>
      </c>
    </row>
    <row r="484">
      <c r="B484" s="20" t="inlineStr">
        <is>
          <t>Monthly Payment</t>
        </is>
      </c>
      <c r="C484" s="3" t="n">
        <v>3481.99</v>
      </c>
    </row>
    <row r="485">
      <c r="B485" s="20" t="inlineStr">
        <is>
          <t>Loan Type</t>
        </is>
      </c>
      <c r="C485" t="inlineStr">
        <is>
          <t>AMORTIZING</t>
        </is>
      </c>
    </row>
    <row r="486">
      <c r="B486" s="20" t="inlineStr">
        <is>
          <t>Use</t>
        </is>
      </c>
      <c r="C486" t="inlineStr">
        <is>
          <t>Vehicle (Zach Race car)</t>
        </is>
      </c>
    </row>
    <row r="487">
      <c r="B487" s="20" t="inlineStr">
        <is>
          <t>Source</t>
        </is>
      </c>
      <c r="C487" t="inlineStr">
        <is>
          <t>Meiborg_Debt_Schedule_202511.xlsx</t>
        </is>
      </c>
    </row>
    <row r="489">
      <c r="A489" s="76" t="inlineStr">
        <is>
          <t>AMORTIZATION SCHEDULE</t>
        </is>
      </c>
    </row>
    <row r="490">
      <c r="A490" s="71" t="inlineStr">
        <is>
          <t>#</t>
        </is>
      </c>
      <c r="B490" s="71" t="inlineStr">
        <is>
          <t>Month</t>
        </is>
      </c>
      <c r="C490" s="71" t="inlineStr">
        <is>
          <t>Date</t>
        </is>
      </c>
      <c r="D490" s="71" t="inlineStr">
        <is>
          <t>Opening</t>
        </is>
      </c>
      <c r="E490" s="71" t="inlineStr">
        <is>
          <t>Interest</t>
        </is>
      </c>
      <c r="F490" s="71" t="inlineStr">
        <is>
          <t>Principal</t>
        </is>
      </c>
      <c r="G490" s="71" t="inlineStr">
        <is>
          <t>Closing</t>
        </is>
      </c>
      <c r="H490" s="71" t="inlineStr">
        <is>
          <t>Cum Int</t>
        </is>
      </c>
      <c r="I490" s="71" t="inlineStr">
        <is>
          <t>Cum Prin</t>
        </is>
      </c>
    </row>
    <row r="491">
      <c r="A491" s="34" t="n">
        <v>1</v>
      </c>
      <c r="B491" s="34" t="inlineStr">
        <is>
          <t>Dec</t>
        </is>
      </c>
      <c r="C491" s="34" t="inlineStr">
        <is>
          <t>2025-12-30</t>
        </is>
      </c>
      <c r="D491" s="11" t="n">
        <v>79604</v>
      </c>
      <c r="E491" s="11">
        <f>MAX(0,D491*0.006908333333333332)</f>
        <v/>
      </c>
      <c r="F491" s="11">
        <f>MAX(0,MIN(D491,3481.99-E491))</f>
        <v/>
      </c>
      <c r="G491" s="11">
        <f>MAX(0,D491-F491)</f>
        <v/>
      </c>
      <c r="H491" s="11">
        <f>E491</f>
        <v/>
      </c>
      <c r="I491" s="11">
        <f>F491</f>
        <v/>
      </c>
    </row>
    <row r="492">
      <c r="A492" s="34" t="n">
        <v>2</v>
      </c>
      <c r="B492" s="34" t="inlineStr">
        <is>
          <t>Jan</t>
        </is>
      </c>
      <c r="C492" s="34" t="inlineStr">
        <is>
          <t>2026-01-30</t>
        </is>
      </c>
      <c r="D492" s="11">
        <f>G491</f>
        <v/>
      </c>
      <c r="E492" s="11">
        <f>MAX(0,D492*0.006908333333333332)</f>
        <v/>
      </c>
      <c r="F492" s="11">
        <f>MAX(0,MIN(D492,3481.99-E492))</f>
        <v/>
      </c>
      <c r="G492" s="11">
        <f>MAX(0,D492-F492)</f>
        <v/>
      </c>
      <c r="H492" s="11">
        <f>H491+E492</f>
        <v/>
      </c>
      <c r="I492" s="11">
        <f>I491+F492</f>
        <v/>
      </c>
    </row>
    <row r="493">
      <c r="A493" s="34" t="n">
        <v>3</v>
      </c>
      <c r="B493" s="34" t="inlineStr">
        <is>
          <t>Feb</t>
        </is>
      </c>
      <c r="C493" s="34" t="inlineStr">
        <is>
          <t>2026-02-28</t>
        </is>
      </c>
      <c r="D493" s="11">
        <f>G492</f>
        <v/>
      </c>
      <c r="E493" s="11">
        <f>MAX(0,D493*0.006908333333333332)</f>
        <v/>
      </c>
      <c r="F493" s="11">
        <f>MAX(0,MIN(D493,3481.99-E493))</f>
        <v/>
      </c>
      <c r="G493" s="11">
        <f>MAX(0,D493-F493)</f>
        <v/>
      </c>
      <c r="H493" s="11">
        <f>H492+E493</f>
        <v/>
      </c>
      <c r="I493" s="11">
        <f>I492+F493</f>
        <v/>
      </c>
    </row>
    <row r="494">
      <c r="A494" s="34" t="n">
        <v>4</v>
      </c>
      <c r="B494" s="34" t="inlineStr">
        <is>
          <t>Mar</t>
        </is>
      </c>
      <c r="C494" s="34" t="inlineStr">
        <is>
          <t>2026-03-30</t>
        </is>
      </c>
      <c r="D494" s="11">
        <f>G493</f>
        <v/>
      </c>
      <c r="E494" s="11">
        <f>MAX(0,D494*0.006908333333333332)</f>
        <v/>
      </c>
      <c r="F494" s="11">
        <f>MAX(0,MIN(D494,3481.99-E494))</f>
        <v/>
      </c>
      <c r="G494" s="11">
        <f>MAX(0,D494-F494)</f>
        <v/>
      </c>
      <c r="H494" s="11">
        <f>H493+E494</f>
        <v/>
      </c>
      <c r="I494" s="11">
        <f>I493+F494</f>
        <v/>
      </c>
    </row>
    <row r="495">
      <c r="A495" s="34" t="n">
        <v>5</v>
      </c>
      <c r="B495" s="34" t="inlineStr">
        <is>
          <t>Apr</t>
        </is>
      </c>
      <c r="C495" s="34" t="inlineStr">
        <is>
          <t>2026-04-30</t>
        </is>
      </c>
      <c r="D495" s="11">
        <f>G494</f>
        <v/>
      </c>
      <c r="E495" s="11">
        <f>MAX(0,D495*0.006908333333333332)</f>
        <v/>
      </c>
      <c r="F495" s="11">
        <f>MAX(0,MIN(D495,3481.99-E495))</f>
        <v/>
      </c>
      <c r="G495" s="11">
        <f>MAX(0,D495-F495)</f>
        <v/>
      </c>
      <c r="H495" s="11">
        <f>H494+E495</f>
        <v/>
      </c>
      <c r="I495" s="11">
        <f>I494+F495</f>
        <v/>
      </c>
    </row>
    <row r="496">
      <c r="A496" s="34" t="n">
        <v>6</v>
      </c>
      <c r="B496" s="34" t="inlineStr">
        <is>
          <t>May</t>
        </is>
      </c>
      <c r="C496" s="34" t="inlineStr">
        <is>
          <t>2026-05-30</t>
        </is>
      </c>
      <c r="D496" s="11">
        <f>G495</f>
        <v/>
      </c>
      <c r="E496" s="11">
        <f>MAX(0,D496*0.006908333333333332)</f>
        <v/>
      </c>
      <c r="F496" s="11">
        <f>MAX(0,MIN(D496,3481.99-E496))</f>
        <v/>
      </c>
      <c r="G496" s="11">
        <f>MAX(0,D496-F496)</f>
        <v/>
      </c>
      <c r="H496" s="11">
        <f>H495+E496</f>
        <v/>
      </c>
      <c r="I496" s="11">
        <f>I495+F496</f>
        <v/>
      </c>
    </row>
    <row r="497">
      <c r="A497" s="34" t="n">
        <v>7</v>
      </c>
      <c r="B497" s="34" t="inlineStr">
        <is>
          <t>Jun</t>
        </is>
      </c>
      <c r="C497" s="34" t="inlineStr">
        <is>
          <t>2026-06-30</t>
        </is>
      </c>
      <c r="D497" s="11">
        <f>G496</f>
        <v/>
      </c>
      <c r="E497" s="11">
        <f>MAX(0,D497*0.006908333333333332)</f>
        <v/>
      </c>
      <c r="F497" s="11">
        <f>MAX(0,MIN(D497,3481.99-E497))</f>
        <v/>
      </c>
      <c r="G497" s="11">
        <f>MAX(0,D497-F497)</f>
        <v/>
      </c>
      <c r="H497" s="11">
        <f>H496+E497</f>
        <v/>
      </c>
      <c r="I497" s="11">
        <f>I496+F497</f>
        <v/>
      </c>
    </row>
    <row r="498">
      <c r="A498" s="34" t="n">
        <v>8</v>
      </c>
      <c r="B498" s="34" t="inlineStr">
        <is>
          <t>Jul</t>
        </is>
      </c>
      <c r="C498" s="34" t="inlineStr">
        <is>
          <t>2026-07-30</t>
        </is>
      </c>
      <c r="D498" s="11">
        <f>G497</f>
        <v/>
      </c>
      <c r="E498" s="11">
        <f>MAX(0,D498*0.006908333333333332)</f>
        <v/>
      </c>
      <c r="F498" s="11">
        <f>MAX(0,MIN(D498,3481.99-E498))</f>
        <v/>
      </c>
      <c r="G498" s="11">
        <f>MAX(0,D498-F498)</f>
        <v/>
      </c>
      <c r="H498" s="11">
        <f>H497+E498</f>
        <v/>
      </c>
      <c r="I498" s="11">
        <f>I497+F498</f>
        <v/>
      </c>
    </row>
    <row r="499">
      <c r="A499" s="34" t="n">
        <v>9</v>
      </c>
      <c r="B499" s="34" t="inlineStr">
        <is>
          <t>Aug</t>
        </is>
      </c>
      <c r="C499" s="34" t="inlineStr">
        <is>
          <t>2026-08-30</t>
        </is>
      </c>
      <c r="D499" s="11">
        <f>G498</f>
        <v/>
      </c>
      <c r="E499" s="11">
        <f>MAX(0,D499*0.006908333333333332)</f>
        <v/>
      </c>
      <c r="F499" s="11">
        <f>MAX(0,MIN(D499,3481.99-E499))</f>
        <v/>
      </c>
      <c r="G499" s="11">
        <f>MAX(0,D499-F499)</f>
        <v/>
      </c>
      <c r="H499" s="11">
        <f>H498+E499</f>
        <v/>
      </c>
      <c r="I499" s="11">
        <f>I498+F499</f>
        <v/>
      </c>
    </row>
    <row r="500">
      <c r="A500" s="34" t="n">
        <v>10</v>
      </c>
      <c r="B500" s="34" t="inlineStr">
        <is>
          <t>Sep</t>
        </is>
      </c>
      <c r="C500" s="34" t="inlineStr">
        <is>
          <t>2026-09-30</t>
        </is>
      </c>
      <c r="D500" s="11">
        <f>G499</f>
        <v/>
      </c>
      <c r="E500" s="11">
        <f>MAX(0,D500*0.006908333333333332)</f>
        <v/>
      </c>
      <c r="F500" s="11">
        <f>MAX(0,MIN(D500,3481.99-E500))</f>
        <v/>
      </c>
      <c r="G500" s="11">
        <f>MAX(0,D500-F500)</f>
        <v/>
      </c>
      <c r="H500" s="11">
        <f>H499+E500</f>
        <v/>
      </c>
      <c r="I500" s="11">
        <f>I499+F500</f>
        <v/>
      </c>
    </row>
    <row r="501">
      <c r="A501" s="34" t="n">
        <v>11</v>
      </c>
      <c r="B501" s="34" t="inlineStr">
        <is>
          <t>Oct</t>
        </is>
      </c>
      <c r="C501" s="34" t="inlineStr">
        <is>
          <t>2026-10-30</t>
        </is>
      </c>
      <c r="D501" s="11">
        <f>G500</f>
        <v/>
      </c>
      <c r="E501" s="11">
        <f>MAX(0,D501*0.006908333333333332)</f>
        <v/>
      </c>
      <c r="F501" s="11">
        <f>MAX(0,MIN(D501,3481.99-E501))</f>
        <v/>
      </c>
      <c r="G501" s="11">
        <f>MAX(0,D501-F501)</f>
        <v/>
      </c>
      <c r="H501" s="11">
        <f>H500+E501</f>
        <v/>
      </c>
      <c r="I501" s="11">
        <f>I500+F501</f>
        <v/>
      </c>
    </row>
    <row r="502">
      <c r="A502" s="34" t="n">
        <v>12</v>
      </c>
      <c r="B502" s="34" t="inlineStr">
        <is>
          <t>Nov</t>
        </is>
      </c>
      <c r="C502" s="34" t="inlineStr">
        <is>
          <t>2026-11-30</t>
        </is>
      </c>
      <c r="D502" s="11">
        <f>G501</f>
        <v/>
      </c>
      <c r="E502" s="11">
        <f>MAX(0,D502*0.006908333333333332)</f>
        <v/>
      </c>
      <c r="F502" s="11">
        <f>MAX(0,MIN(D502,3481.99-E502))</f>
        <v/>
      </c>
      <c r="G502" s="11">
        <f>MAX(0,D502-F502)</f>
        <v/>
      </c>
      <c r="H502" s="11">
        <f>H501+E502</f>
        <v/>
      </c>
      <c r="I502" s="11">
        <f>I501+F502</f>
        <v/>
      </c>
    </row>
    <row r="503">
      <c r="A503" s="34" t="n">
        <v>13</v>
      </c>
      <c r="B503" s="34" t="inlineStr">
        <is>
          <t>Dec</t>
        </is>
      </c>
      <c r="C503" s="34" t="inlineStr">
        <is>
          <t>2026-12-30</t>
        </is>
      </c>
      <c r="D503" s="11">
        <f>G502</f>
        <v/>
      </c>
      <c r="E503" s="11">
        <f>MAX(0,D503*0.006908333333333332)</f>
        <v/>
      </c>
      <c r="F503" s="11">
        <f>MAX(0,MIN(D503,3481.99-E503))</f>
        <v/>
      </c>
      <c r="G503" s="11">
        <f>MAX(0,D503-F503)</f>
        <v/>
      </c>
      <c r="H503" s="11">
        <f>H502+E503</f>
        <v/>
      </c>
      <c r="I503" s="11">
        <f>I502+F503</f>
        <v/>
      </c>
    </row>
    <row r="504">
      <c r="A504" s="34" t="n">
        <v>14</v>
      </c>
      <c r="B504" s="34" t="inlineStr">
        <is>
          <t>Jan</t>
        </is>
      </c>
      <c r="C504" s="34" t="inlineStr">
        <is>
          <t>2027-01-30</t>
        </is>
      </c>
      <c r="D504" s="11">
        <f>G503</f>
        <v/>
      </c>
      <c r="E504" s="11">
        <f>MAX(0,D504*0.006908333333333332)</f>
        <v/>
      </c>
      <c r="F504" s="11">
        <f>MAX(0,MIN(D504,3481.99-E504))</f>
        <v/>
      </c>
      <c r="G504" s="11">
        <f>MAX(0,D504-F504)</f>
        <v/>
      </c>
      <c r="H504" s="11">
        <f>H503+E504</f>
        <v/>
      </c>
      <c r="I504" s="11">
        <f>I503+F504</f>
        <v/>
      </c>
    </row>
    <row r="505">
      <c r="A505" s="34" t="n">
        <v>15</v>
      </c>
      <c r="B505" s="34" t="inlineStr">
        <is>
          <t>Feb</t>
        </is>
      </c>
      <c r="C505" s="34" t="inlineStr">
        <is>
          <t>2027-02-28</t>
        </is>
      </c>
      <c r="D505" s="11">
        <f>G504</f>
        <v/>
      </c>
      <c r="E505" s="11">
        <f>MAX(0,D505*0.006908333333333332)</f>
        <v/>
      </c>
      <c r="F505" s="11">
        <f>MAX(0,MIN(D505,3481.99-E505))</f>
        <v/>
      </c>
      <c r="G505" s="11">
        <f>MAX(0,D505-F505)</f>
        <v/>
      </c>
      <c r="H505" s="11">
        <f>H504+E505</f>
        <v/>
      </c>
      <c r="I505" s="11">
        <f>I504+F505</f>
        <v/>
      </c>
    </row>
    <row r="506">
      <c r="A506" s="34" t="n">
        <v>16</v>
      </c>
      <c r="B506" s="34" t="inlineStr">
        <is>
          <t>Mar</t>
        </is>
      </c>
      <c r="C506" s="34" t="inlineStr">
        <is>
          <t>2027-03-30</t>
        </is>
      </c>
      <c r="D506" s="11">
        <f>G505</f>
        <v/>
      </c>
      <c r="E506" s="11">
        <f>MAX(0,D506*0.006908333333333332)</f>
        <v/>
      </c>
      <c r="F506" s="11">
        <f>MAX(0,MIN(D506,3481.99-E506))</f>
        <v/>
      </c>
      <c r="G506" s="11">
        <f>MAX(0,D506-F506)</f>
        <v/>
      </c>
      <c r="H506" s="11">
        <f>H505+E506</f>
        <v/>
      </c>
      <c r="I506" s="11">
        <f>I505+F506</f>
        <v/>
      </c>
    </row>
    <row r="507">
      <c r="A507" s="34" t="n">
        <v>17</v>
      </c>
      <c r="B507" s="34" t="inlineStr">
        <is>
          <t>Apr</t>
        </is>
      </c>
      <c r="C507" s="34" t="inlineStr">
        <is>
          <t>2027-04-30</t>
        </is>
      </c>
      <c r="D507" s="11">
        <f>G506</f>
        <v/>
      </c>
      <c r="E507" s="11">
        <f>MAX(0,D507*0.006908333333333332)</f>
        <v/>
      </c>
      <c r="F507" s="11">
        <f>MAX(0,MIN(D507,3481.99-E507))</f>
        <v/>
      </c>
      <c r="G507" s="11">
        <f>MAX(0,D507-F507)</f>
        <v/>
      </c>
      <c r="H507" s="11">
        <f>H506+E507</f>
        <v/>
      </c>
      <c r="I507" s="11">
        <f>I506+F507</f>
        <v/>
      </c>
    </row>
    <row r="508">
      <c r="A508" s="34" t="n">
        <v>18</v>
      </c>
      <c r="B508" s="34" t="inlineStr">
        <is>
          <t>May</t>
        </is>
      </c>
      <c r="C508" s="34" t="inlineStr">
        <is>
          <t>2027-05-30</t>
        </is>
      </c>
      <c r="D508" s="11">
        <f>G507</f>
        <v/>
      </c>
      <c r="E508" s="11">
        <f>MAX(0,D508*0.006908333333333332)</f>
        <v/>
      </c>
      <c r="F508" s="11">
        <f>MAX(0,MIN(D508,3481.99-E508))</f>
        <v/>
      </c>
      <c r="G508" s="11">
        <f>MAX(0,D508-F508)</f>
        <v/>
      </c>
      <c r="H508" s="11">
        <f>H507+E508</f>
        <v/>
      </c>
      <c r="I508" s="11">
        <f>I507+F508</f>
        <v/>
      </c>
    </row>
    <row r="509">
      <c r="A509" s="34" t="n">
        <v>19</v>
      </c>
      <c r="B509" s="34" t="inlineStr">
        <is>
          <t>Jun</t>
        </is>
      </c>
      <c r="C509" s="34" t="inlineStr">
        <is>
          <t>2027-06-30</t>
        </is>
      </c>
      <c r="D509" s="11">
        <f>G508</f>
        <v/>
      </c>
      <c r="E509" s="11">
        <f>MAX(0,D509*0.006908333333333332)</f>
        <v/>
      </c>
      <c r="F509" s="11">
        <f>MAX(0,MIN(D509,3481.99-E509))</f>
        <v/>
      </c>
      <c r="G509" s="11">
        <f>MAX(0,D509-F509)</f>
        <v/>
      </c>
      <c r="H509" s="11">
        <f>H508+E509</f>
        <v/>
      </c>
      <c r="I509" s="11">
        <f>I508+F509</f>
        <v/>
      </c>
    </row>
    <row r="510">
      <c r="A510" s="34" t="n">
        <v>20</v>
      </c>
      <c r="B510" s="34" t="inlineStr">
        <is>
          <t>Jul</t>
        </is>
      </c>
      <c r="C510" s="34" t="inlineStr">
        <is>
          <t>2027-07-30</t>
        </is>
      </c>
      <c r="D510" s="11">
        <f>G509</f>
        <v/>
      </c>
      <c r="E510" s="11">
        <f>MAX(0,D510*0.006908333333333332)</f>
        <v/>
      </c>
      <c r="F510" s="11">
        <f>MAX(0,MIN(D510,3481.99-E510))</f>
        <v/>
      </c>
      <c r="G510" s="11">
        <f>MAX(0,D510-F510)</f>
        <v/>
      </c>
      <c r="H510" s="11">
        <f>H509+E510</f>
        <v/>
      </c>
      <c r="I510" s="11">
        <f>I509+F510</f>
        <v/>
      </c>
    </row>
    <row r="511">
      <c r="A511" s="34" t="n">
        <v>21</v>
      </c>
      <c r="B511" s="34" t="inlineStr">
        <is>
          <t>Aug</t>
        </is>
      </c>
      <c r="C511" s="34" t="inlineStr">
        <is>
          <t>2027-08-30</t>
        </is>
      </c>
      <c r="D511" s="11">
        <f>G510</f>
        <v/>
      </c>
      <c r="E511" s="11">
        <f>MAX(0,D511*0.006908333333333332)</f>
        <v/>
      </c>
      <c r="F511" s="11">
        <f>MAX(0,MIN(D511,3481.99-E511))</f>
        <v/>
      </c>
      <c r="G511" s="11">
        <f>MAX(0,D511-F511)</f>
        <v/>
      </c>
      <c r="H511" s="11">
        <f>H510+E511</f>
        <v/>
      </c>
      <c r="I511" s="11">
        <f>I510+F511</f>
        <v/>
      </c>
    </row>
    <row r="512">
      <c r="A512" s="34" t="n">
        <v>22</v>
      </c>
      <c r="B512" s="34" t="inlineStr">
        <is>
          <t>Sep</t>
        </is>
      </c>
      <c r="C512" s="34" t="inlineStr">
        <is>
          <t>2027-09-30</t>
        </is>
      </c>
      <c r="D512" s="11">
        <f>G511</f>
        <v/>
      </c>
      <c r="E512" s="11">
        <f>MAX(0,D512*0.006908333333333332)</f>
        <v/>
      </c>
      <c r="F512" s="11">
        <f>MAX(0,MIN(D512,3481.99-E512))</f>
        <v/>
      </c>
      <c r="G512" s="11">
        <f>MAX(0,D512-F512)</f>
        <v/>
      </c>
      <c r="H512" s="11">
        <f>H511+E512</f>
        <v/>
      </c>
      <c r="I512" s="11">
        <f>I511+F512</f>
        <v/>
      </c>
    </row>
    <row r="513">
      <c r="A513" s="34" t="n">
        <v>23</v>
      </c>
      <c r="B513" s="34" t="inlineStr">
        <is>
          <t>Oct</t>
        </is>
      </c>
      <c r="C513" s="34" t="inlineStr">
        <is>
          <t>2027-10-30</t>
        </is>
      </c>
      <c r="D513" s="11">
        <f>G512</f>
        <v/>
      </c>
      <c r="E513" s="11">
        <f>MAX(0,D513*0.006908333333333332)</f>
        <v/>
      </c>
      <c r="F513" s="11">
        <f>MAX(0,MIN(D513,3481.99-E513))</f>
        <v/>
      </c>
      <c r="G513" s="11">
        <f>MAX(0,D513-F513)</f>
        <v/>
      </c>
      <c r="H513" s="11">
        <f>H512+E513</f>
        <v/>
      </c>
      <c r="I513" s="11">
        <f>I512+F513</f>
        <v/>
      </c>
    </row>
    <row r="514">
      <c r="A514" s="34" t="n">
        <v>24</v>
      </c>
      <c r="B514" s="34" t="inlineStr">
        <is>
          <t>Nov</t>
        </is>
      </c>
      <c r="C514" s="34" t="inlineStr">
        <is>
          <t>2027-11-30</t>
        </is>
      </c>
      <c r="D514" s="11">
        <f>G513</f>
        <v/>
      </c>
      <c r="E514" s="11">
        <f>MAX(0,D514*0.006908333333333332)</f>
        <v/>
      </c>
      <c r="F514" s="11">
        <f>MAX(0,MIN(D514,3481.99-E514))</f>
        <v/>
      </c>
      <c r="G514" s="11">
        <f>MAX(0,D514-F514)</f>
        <v/>
      </c>
      <c r="H514" s="11">
        <f>H513+E514</f>
        <v/>
      </c>
      <c r="I514" s="11">
        <f>I513+F514</f>
        <v/>
      </c>
    </row>
    <row r="515">
      <c r="A515" s="34" t="n">
        <v>25</v>
      </c>
      <c r="B515" s="34" t="inlineStr">
        <is>
          <t>Dec</t>
        </is>
      </c>
      <c r="C515" s="34" t="inlineStr">
        <is>
          <t>2027-12-30</t>
        </is>
      </c>
      <c r="D515" s="11">
        <f>G514</f>
        <v/>
      </c>
      <c r="E515" s="11">
        <f>MAX(0,D515*0.006908333333333332)</f>
        <v/>
      </c>
      <c r="F515" s="11">
        <f>MAX(0,MIN(D515,3481.99-E515))</f>
        <v/>
      </c>
      <c r="G515" s="11">
        <f>MAX(0,D515-F515)</f>
        <v/>
      </c>
      <c r="H515" s="11">
        <f>H514+E515</f>
        <v/>
      </c>
      <c r="I515" s="11">
        <f>I514+F515</f>
        <v/>
      </c>
    </row>
    <row r="516">
      <c r="A516" s="34" t="n">
        <v>26</v>
      </c>
      <c r="B516" s="34" t="inlineStr">
        <is>
          <t>Jan</t>
        </is>
      </c>
      <c r="C516" s="34" t="inlineStr">
        <is>
          <t>2028-01-30</t>
        </is>
      </c>
      <c r="D516" s="11">
        <f>G515</f>
        <v/>
      </c>
      <c r="E516" s="11">
        <f>MAX(0,D516*0.006908333333333332)</f>
        <v/>
      </c>
      <c r="F516" s="11">
        <f>MAX(0,MIN(D516,3481.99-E516))</f>
        <v/>
      </c>
      <c r="G516" s="11">
        <f>MAX(0,D516-F516)</f>
        <v/>
      </c>
      <c r="H516" s="11">
        <f>H515+E516</f>
        <v/>
      </c>
      <c r="I516" s="11">
        <f>I515+F516</f>
        <v/>
      </c>
    </row>
    <row r="517">
      <c r="A517" s="34" t="n">
        <v>27</v>
      </c>
      <c r="B517" s="34" t="inlineStr">
        <is>
          <t>Feb</t>
        </is>
      </c>
      <c r="C517" s="34" t="inlineStr">
        <is>
          <t>2028-02-29</t>
        </is>
      </c>
      <c r="D517" s="11">
        <f>G516</f>
        <v/>
      </c>
      <c r="E517" s="11">
        <f>MAX(0,D517*0.006908333333333332)</f>
        <v/>
      </c>
      <c r="F517" s="11">
        <f>MAX(0,MIN(D517,3481.99-E517))</f>
        <v/>
      </c>
      <c r="G517" s="11">
        <f>MAX(0,D517-F517)</f>
        <v/>
      </c>
      <c r="H517" s="11">
        <f>H516+E517</f>
        <v/>
      </c>
      <c r="I517" s="11">
        <f>I516+F517</f>
        <v/>
      </c>
    </row>
    <row r="518">
      <c r="A518" s="34" t="n">
        <v>28</v>
      </c>
      <c r="B518" s="34" t="inlineStr">
        <is>
          <t>Mar</t>
        </is>
      </c>
      <c r="C518" s="34" t="inlineStr">
        <is>
          <t>2028-03-30</t>
        </is>
      </c>
      <c r="D518" s="11">
        <f>G517</f>
        <v/>
      </c>
      <c r="E518" s="11">
        <f>MAX(0,D518*0.006908333333333332)</f>
        <v/>
      </c>
      <c r="F518" s="11">
        <f>MAX(0,MIN(D518,3481.99-E518))</f>
        <v/>
      </c>
      <c r="G518" s="11">
        <f>MAX(0,D518-F518)</f>
        <v/>
      </c>
      <c r="H518" s="11">
        <f>H517+E518</f>
        <v/>
      </c>
      <c r="I518" s="11">
        <f>I517+F518</f>
        <v/>
      </c>
    </row>
    <row r="519">
      <c r="A519" s="73" t="n"/>
      <c r="B519" s="74" t="inlineStr">
        <is>
          <t>TOTAL</t>
        </is>
      </c>
      <c r="C519" s="73" t="n"/>
      <c r="D519" s="73" t="n"/>
      <c r="E519" s="77">
        <f>SUM(E491:E518)</f>
        <v/>
      </c>
      <c r="F519" s="77">
        <f>SUM(F491:F518)</f>
        <v/>
      </c>
      <c r="G519" s="73" t="n"/>
      <c r="H519" s="73" t="n"/>
      <c r="I519" s="73" t="n"/>
    </row>
    <row r="522">
      <c r="A522" s="39" t="inlineStr">
        <is>
          <t>LOAN 8: MERCEDES-BENZ FINANCIAL</t>
        </is>
      </c>
    </row>
    <row r="523">
      <c r="B523" s="20" t="inlineStr">
        <is>
          <t>Loan ID</t>
        </is>
      </c>
      <c r="C523" t="inlineStr">
        <is>
          <t>05-2991-000-000-00</t>
        </is>
      </c>
    </row>
    <row r="524">
      <c r="B524" s="20" t="inlineStr">
        <is>
          <t>Account #</t>
        </is>
      </c>
      <c r="C524" t="inlineStr">
        <is>
          <t>N/A</t>
        </is>
      </c>
    </row>
    <row r="525">
      <c r="B525" s="20" t="inlineStr">
        <is>
          <t>Description</t>
        </is>
      </c>
      <c r="C525" t="inlineStr">
        <is>
          <t>Mercedes Vehicle (Nov 2025)</t>
        </is>
      </c>
    </row>
    <row r="526">
      <c r="B526" s="20" t="inlineStr">
        <is>
          <t>Origination Date</t>
        </is>
      </c>
      <c r="C526" t="inlineStr">
        <is>
          <t>2025-11-03</t>
        </is>
      </c>
    </row>
    <row r="527">
      <c r="B527" s="20" t="inlineStr">
        <is>
          <t>Maturity Date</t>
        </is>
      </c>
      <c r="C527" t="inlineStr">
        <is>
          <t>2030-10-03</t>
        </is>
      </c>
    </row>
    <row r="528">
      <c r="B528" s="20" t="inlineStr">
        <is>
          <t>Opening Balance</t>
        </is>
      </c>
      <c r="C528" s="3" t="n">
        <v>99690</v>
      </c>
    </row>
    <row r="529">
      <c r="B529" s="20" t="inlineStr">
        <is>
          <t>Remaining Balance (Nov 2025)</t>
        </is>
      </c>
      <c r="C529" s="3" t="n">
        <v>98186</v>
      </c>
    </row>
    <row r="530">
      <c r="B530" s="20" t="inlineStr">
        <is>
          <t>Annual Interest Rate</t>
        </is>
      </c>
      <c r="C530" t="inlineStr">
        <is>
          <t>3.35%</t>
        </is>
      </c>
    </row>
    <row r="531">
      <c r="B531" s="20" t="inlineStr">
        <is>
          <t>Monthly Payment</t>
        </is>
      </c>
      <c r="C531" s="3" t="n">
        <v>1838.5</v>
      </c>
    </row>
    <row r="532">
      <c r="B532" s="20" t="inlineStr">
        <is>
          <t>Loan Type</t>
        </is>
      </c>
      <c r="C532" t="inlineStr">
        <is>
          <t>AMORTIZING</t>
        </is>
      </c>
    </row>
    <row r="533">
      <c r="B533" s="20" t="inlineStr">
        <is>
          <t>Use</t>
        </is>
      </c>
      <c r="C533" t="inlineStr">
        <is>
          <t>Vehicle (Mercedes)</t>
        </is>
      </c>
    </row>
    <row r="534">
      <c r="B534" s="20" t="inlineStr">
        <is>
          <t>Source</t>
        </is>
      </c>
      <c r="C534" t="inlineStr">
        <is>
          <t>Meiborg_Debt_Schedule_202511.xlsx</t>
        </is>
      </c>
    </row>
    <row r="536">
      <c r="A536" s="76" t="inlineStr">
        <is>
          <t>AMORTIZATION SCHEDULE</t>
        </is>
      </c>
    </row>
    <row r="537">
      <c r="A537" s="71" t="inlineStr">
        <is>
          <t>#</t>
        </is>
      </c>
      <c r="B537" s="71" t="inlineStr">
        <is>
          <t>Month</t>
        </is>
      </c>
      <c r="C537" s="71" t="inlineStr">
        <is>
          <t>Date</t>
        </is>
      </c>
      <c r="D537" s="71" t="inlineStr">
        <is>
          <t>Opening</t>
        </is>
      </c>
      <c r="E537" s="71" t="inlineStr">
        <is>
          <t>Interest</t>
        </is>
      </c>
      <c r="F537" s="71" t="inlineStr">
        <is>
          <t>Principal</t>
        </is>
      </c>
      <c r="G537" s="71" t="inlineStr">
        <is>
          <t>Closing</t>
        </is>
      </c>
      <c r="H537" s="71" t="inlineStr">
        <is>
          <t>Cum Int</t>
        </is>
      </c>
      <c r="I537" s="71" t="inlineStr">
        <is>
          <t>Cum Prin</t>
        </is>
      </c>
    </row>
    <row r="538">
      <c r="A538" s="34" t="n">
        <v>1</v>
      </c>
      <c r="B538" s="34" t="inlineStr">
        <is>
          <t>Dec</t>
        </is>
      </c>
      <c r="C538" s="34" t="inlineStr">
        <is>
          <t>2025-12-30</t>
        </is>
      </c>
      <c r="D538" s="11" t="n">
        <v>98186</v>
      </c>
      <c r="E538" s="11">
        <f>MAX(0,D538*0.0027916666666666667)</f>
        <v/>
      </c>
      <c r="F538" s="11">
        <f>MAX(0,MIN(D538,1838.5-E538))</f>
        <v/>
      </c>
      <c r="G538" s="11">
        <f>MAX(0,D538-F538)</f>
        <v/>
      </c>
      <c r="H538" s="11">
        <f>E538</f>
        <v/>
      </c>
      <c r="I538" s="11">
        <f>F538</f>
        <v/>
      </c>
    </row>
    <row r="539">
      <c r="A539" s="34" t="n">
        <v>2</v>
      </c>
      <c r="B539" s="34" t="inlineStr">
        <is>
          <t>Jan</t>
        </is>
      </c>
      <c r="C539" s="34" t="inlineStr">
        <is>
          <t>2026-01-30</t>
        </is>
      </c>
      <c r="D539" s="11">
        <f>G538</f>
        <v/>
      </c>
      <c r="E539" s="11">
        <f>MAX(0,D539*0.0027916666666666667)</f>
        <v/>
      </c>
      <c r="F539" s="11">
        <f>MAX(0,MIN(D539,1838.5-E539))</f>
        <v/>
      </c>
      <c r="G539" s="11">
        <f>MAX(0,D539-F539)</f>
        <v/>
      </c>
      <c r="H539" s="11">
        <f>H538+E539</f>
        <v/>
      </c>
      <c r="I539" s="11">
        <f>I538+F539</f>
        <v/>
      </c>
    </row>
    <row r="540">
      <c r="A540" s="34" t="n">
        <v>3</v>
      </c>
      <c r="B540" s="34" t="inlineStr">
        <is>
          <t>Feb</t>
        </is>
      </c>
      <c r="C540" s="34" t="inlineStr">
        <is>
          <t>2026-02-28</t>
        </is>
      </c>
      <c r="D540" s="11">
        <f>G539</f>
        <v/>
      </c>
      <c r="E540" s="11">
        <f>MAX(0,D540*0.0027916666666666667)</f>
        <v/>
      </c>
      <c r="F540" s="11">
        <f>MAX(0,MIN(D540,1838.5-E540))</f>
        <v/>
      </c>
      <c r="G540" s="11">
        <f>MAX(0,D540-F540)</f>
        <v/>
      </c>
      <c r="H540" s="11">
        <f>H539+E540</f>
        <v/>
      </c>
      <c r="I540" s="11">
        <f>I539+F540</f>
        <v/>
      </c>
    </row>
    <row r="541">
      <c r="A541" s="34" t="n">
        <v>4</v>
      </c>
      <c r="B541" s="34" t="inlineStr">
        <is>
          <t>Mar</t>
        </is>
      </c>
      <c r="C541" s="34" t="inlineStr">
        <is>
          <t>2026-03-30</t>
        </is>
      </c>
      <c r="D541" s="11">
        <f>G540</f>
        <v/>
      </c>
      <c r="E541" s="11">
        <f>MAX(0,D541*0.0027916666666666667)</f>
        <v/>
      </c>
      <c r="F541" s="11">
        <f>MAX(0,MIN(D541,1838.5-E541))</f>
        <v/>
      </c>
      <c r="G541" s="11">
        <f>MAX(0,D541-F541)</f>
        <v/>
      </c>
      <c r="H541" s="11">
        <f>H540+E541</f>
        <v/>
      </c>
      <c r="I541" s="11">
        <f>I540+F541</f>
        <v/>
      </c>
    </row>
    <row r="542">
      <c r="A542" s="34" t="n">
        <v>5</v>
      </c>
      <c r="B542" s="34" t="inlineStr">
        <is>
          <t>Apr</t>
        </is>
      </c>
      <c r="C542" s="34" t="inlineStr">
        <is>
          <t>2026-04-30</t>
        </is>
      </c>
      <c r="D542" s="11">
        <f>G541</f>
        <v/>
      </c>
      <c r="E542" s="11">
        <f>MAX(0,D542*0.0027916666666666667)</f>
        <v/>
      </c>
      <c r="F542" s="11">
        <f>MAX(0,MIN(D542,1838.5-E542))</f>
        <v/>
      </c>
      <c r="G542" s="11">
        <f>MAX(0,D542-F542)</f>
        <v/>
      </c>
      <c r="H542" s="11">
        <f>H541+E542</f>
        <v/>
      </c>
      <c r="I542" s="11">
        <f>I541+F542</f>
        <v/>
      </c>
    </row>
    <row r="543">
      <c r="A543" s="34" t="n">
        <v>6</v>
      </c>
      <c r="B543" s="34" t="inlineStr">
        <is>
          <t>May</t>
        </is>
      </c>
      <c r="C543" s="34" t="inlineStr">
        <is>
          <t>2026-05-30</t>
        </is>
      </c>
      <c r="D543" s="11">
        <f>G542</f>
        <v/>
      </c>
      <c r="E543" s="11">
        <f>MAX(0,D543*0.0027916666666666667)</f>
        <v/>
      </c>
      <c r="F543" s="11">
        <f>MAX(0,MIN(D543,1838.5-E543))</f>
        <v/>
      </c>
      <c r="G543" s="11">
        <f>MAX(0,D543-F543)</f>
        <v/>
      </c>
      <c r="H543" s="11">
        <f>H542+E543</f>
        <v/>
      </c>
      <c r="I543" s="11">
        <f>I542+F543</f>
        <v/>
      </c>
    </row>
    <row r="544">
      <c r="A544" s="34" t="n">
        <v>7</v>
      </c>
      <c r="B544" s="34" t="inlineStr">
        <is>
          <t>Jun</t>
        </is>
      </c>
      <c r="C544" s="34" t="inlineStr">
        <is>
          <t>2026-06-30</t>
        </is>
      </c>
      <c r="D544" s="11">
        <f>G543</f>
        <v/>
      </c>
      <c r="E544" s="11">
        <f>MAX(0,D544*0.0027916666666666667)</f>
        <v/>
      </c>
      <c r="F544" s="11">
        <f>MAX(0,MIN(D544,1838.5-E544))</f>
        <v/>
      </c>
      <c r="G544" s="11">
        <f>MAX(0,D544-F544)</f>
        <v/>
      </c>
      <c r="H544" s="11">
        <f>H543+E544</f>
        <v/>
      </c>
      <c r="I544" s="11">
        <f>I543+F544</f>
        <v/>
      </c>
    </row>
    <row r="545">
      <c r="A545" s="34" t="n">
        <v>8</v>
      </c>
      <c r="B545" s="34" t="inlineStr">
        <is>
          <t>Jul</t>
        </is>
      </c>
      <c r="C545" s="34" t="inlineStr">
        <is>
          <t>2026-07-30</t>
        </is>
      </c>
      <c r="D545" s="11">
        <f>G544</f>
        <v/>
      </c>
      <c r="E545" s="11">
        <f>MAX(0,D545*0.0027916666666666667)</f>
        <v/>
      </c>
      <c r="F545" s="11">
        <f>MAX(0,MIN(D545,1838.5-E545))</f>
        <v/>
      </c>
      <c r="G545" s="11">
        <f>MAX(0,D545-F545)</f>
        <v/>
      </c>
      <c r="H545" s="11">
        <f>H544+E545</f>
        <v/>
      </c>
      <c r="I545" s="11">
        <f>I544+F545</f>
        <v/>
      </c>
    </row>
    <row r="546">
      <c r="A546" s="34" t="n">
        <v>9</v>
      </c>
      <c r="B546" s="34" t="inlineStr">
        <is>
          <t>Aug</t>
        </is>
      </c>
      <c r="C546" s="34" t="inlineStr">
        <is>
          <t>2026-08-30</t>
        </is>
      </c>
      <c r="D546" s="11">
        <f>G545</f>
        <v/>
      </c>
      <c r="E546" s="11">
        <f>MAX(0,D546*0.0027916666666666667)</f>
        <v/>
      </c>
      <c r="F546" s="11">
        <f>MAX(0,MIN(D546,1838.5-E546))</f>
        <v/>
      </c>
      <c r="G546" s="11">
        <f>MAX(0,D546-F546)</f>
        <v/>
      </c>
      <c r="H546" s="11">
        <f>H545+E546</f>
        <v/>
      </c>
      <c r="I546" s="11">
        <f>I545+F546</f>
        <v/>
      </c>
    </row>
    <row r="547">
      <c r="A547" s="34" t="n">
        <v>10</v>
      </c>
      <c r="B547" s="34" t="inlineStr">
        <is>
          <t>Sep</t>
        </is>
      </c>
      <c r="C547" s="34" t="inlineStr">
        <is>
          <t>2026-09-30</t>
        </is>
      </c>
      <c r="D547" s="11">
        <f>G546</f>
        <v/>
      </c>
      <c r="E547" s="11">
        <f>MAX(0,D547*0.0027916666666666667)</f>
        <v/>
      </c>
      <c r="F547" s="11">
        <f>MAX(0,MIN(D547,1838.5-E547))</f>
        <v/>
      </c>
      <c r="G547" s="11">
        <f>MAX(0,D547-F547)</f>
        <v/>
      </c>
      <c r="H547" s="11">
        <f>H546+E547</f>
        <v/>
      </c>
      <c r="I547" s="11">
        <f>I546+F547</f>
        <v/>
      </c>
    </row>
    <row r="548">
      <c r="A548" s="34" t="n">
        <v>11</v>
      </c>
      <c r="B548" s="34" t="inlineStr">
        <is>
          <t>Oct</t>
        </is>
      </c>
      <c r="C548" s="34" t="inlineStr">
        <is>
          <t>2026-10-30</t>
        </is>
      </c>
      <c r="D548" s="11">
        <f>G547</f>
        <v/>
      </c>
      <c r="E548" s="11">
        <f>MAX(0,D548*0.0027916666666666667)</f>
        <v/>
      </c>
      <c r="F548" s="11">
        <f>MAX(0,MIN(D548,1838.5-E548))</f>
        <v/>
      </c>
      <c r="G548" s="11">
        <f>MAX(0,D548-F548)</f>
        <v/>
      </c>
      <c r="H548" s="11">
        <f>H547+E548</f>
        <v/>
      </c>
      <c r="I548" s="11">
        <f>I547+F548</f>
        <v/>
      </c>
    </row>
    <row r="549">
      <c r="A549" s="34" t="n">
        <v>12</v>
      </c>
      <c r="B549" s="34" t="inlineStr">
        <is>
          <t>Nov</t>
        </is>
      </c>
      <c r="C549" s="34" t="inlineStr">
        <is>
          <t>2026-11-30</t>
        </is>
      </c>
      <c r="D549" s="11">
        <f>G548</f>
        <v/>
      </c>
      <c r="E549" s="11">
        <f>MAX(0,D549*0.0027916666666666667)</f>
        <v/>
      </c>
      <c r="F549" s="11">
        <f>MAX(0,MIN(D549,1838.5-E549))</f>
        <v/>
      </c>
      <c r="G549" s="11">
        <f>MAX(0,D549-F549)</f>
        <v/>
      </c>
      <c r="H549" s="11">
        <f>H548+E549</f>
        <v/>
      </c>
      <c r="I549" s="11">
        <f>I548+F549</f>
        <v/>
      </c>
    </row>
    <row r="550">
      <c r="A550" s="34" t="n">
        <v>13</v>
      </c>
      <c r="B550" s="34" t="inlineStr">
        <is>
          <t>Dec</t>
        </is>
      </c>
      <c r="C550" s="34" t="inlineStr">
        <is>
          <t>2026-12-30</t>
        </is>
      </c>
      <c r="D550" s="11">
        <f>G549</f>
        <v/>
      </c>
      <c r="E550" s="11">
        <f>MAX(0,D550*0.0027916666666666667)</f>
        <v/>
      </c>
      <c r="F550" s="11">
        <f>MAX(0,MIN(D550,1838.5-E550))</f>
        <v/>
      </c>
      <c r="G550" s="11">
        <f>MAX(0,D550-F550)</f>
        <v/>
      </c>
      <c r="H550" s="11">
        <f>H549+E550</f>
        <v/>
      </c>
      <c r="I550" s="11">
        <f>I549+F550</f>
        <v/>
      </c>
    </row>
    <row r="551">
      <c r="A551" s="34" t="n">
        <v>14</v>
      </c>
      <c r="B551" s="34" t="inlineStr">
        <is>
          <t>Jan</t>
        </is>
      </c>
      <c r="C551" s="34" t="inlineStr">
        <is>
          <t>2027-01-30</t>
        </is>
      </c>
      <c r="D551" s="11">
        <f>G550</f>
        <v/>
      </c>
      <c r="E551" s="11">
        <f>MAX(0,D551*0.0027916666666666667)</f>
        <v/>
      </c>
      <c r="F551" s="11">
        <f>MAX(0,MIN(D551,1838.5-E551))</f>
        <v/>
      </c>
      <c r="G551" s="11">
        <f>MAX(0,D551-F551)</f>
        <v/>
      </c>
      <c r="H551" s="11">
        <f>H550+E551</f>
        <v/>
      </c>
      <c r="I551" s="11">
        <f>I550+F551</f>
        <v/>
      </c>
    </row>
    <row r="552">
      <c r="A552" s="34" t="n">
        <v>15</v>
      </c>
      <c r="B552" s="34" t="inlineStr">
        <is>
          <t>Feb</t>
        </is>
      </c>
      <c r="C552" s="34" t="inlineStr">
        <is>
          <t>2027-02-28</t>
        </is>
      </c>
      <c r="D552" s="11">
        <f>G551</f>
        <v/>
      </c>
      <c r="E552" s="11">
        <f>MAX(0,D552*0.0027916666666666667)</f>
        <v/>
      </c>
      <c r="F552" s="11">
        <f>MAX(0,MIN(D552,1838.5-E552))</f>
        <v/>
      </c>
      <c r="G552" s="11">
        <f>MAX(0,D552-F552)</f>
        <v/>
      </c>
      <c r="H552" s="11">
        <f>H551+E552</f>
        <v/>
      </c>
      <c r="I552" s="11">
        <f>I551+F552</f>
        <v/>
      </c>
    </row>
    <row r="553">
      <c r="A553" s="34" t="n">
        <v>16</v>
      </c>
      <c r="B553" s="34" t="inlineStr">
        <is>
          <t>Mar</t>
        </is>
      </c>
      <c r="C553" s="34" t="inlineStr">
        <is>
          <t>2027-03-30</t>
        </is>
      </c>
      <c r="D553" s="11">
        <f>G552</f>
        <v/>
      </c>
      <c r="E553" s="11">
        <f>MAX(0,D553*0.0027916666666666667)</f>
        <v/>
      </c>
      <c r="F553" s="11">
        <f>MAX(0,MIN(D553,1838.5-E553))</f>
        <v/>
      </c>
      <c r="G553" s="11">
        <f>MAX(0,D553-F553)</f>
        <v/>
      </c>
      <c r="H553" s="11">
        <f>H552+E553</f>
        <v/>
      </c>
      <c r="I553" s="11">
        <f>I552+F553</f>
        <v/>
      </c>
    </row>
    <row r="554">
      <c r="A554" s="34" t="n">
        <v>17</v>
      </c>
      <c r="B554" s="34" t="inlineStr">
        <is>
          <t>Apr</t>
        </is>
      </c>
      <c r="C554" s="34" t="inlineStr">
        <is>
          <t>2027-04-30</t>
        </is>
      </c>
      <c r="D554" s="11">
        <f>G553</f>
        <v/>
      </c>
      <c r="E554" s="11">
        <f>MAX(0,D554*0.0027916666666666667)</f>
        <v/>
      </c>
      <c r="F554" s="11">
        <f>MAX(0,MIN(D554,1838.5-E554))</f>
        <v/>
      </c>
      <c r="G554" s="11">
        <f>MAX(0,D554-F554)</f>
        <v/>
      </c>
      <c r="H554" s="11">
        <f>H553+E554</f>
        <v/>
      </c>
      <c r="I554" s="11">
        <f>I553+F554</f>
        <v/>
      </c>
    </row>
    <row r="555">
      <c r="A555" s="34" t="n">
        <v>18</v>
      </c>
      <c r="B555" s="34" t="inlineStr">
        <is>
          <t>May</t>
        </is>
      </c>
      <c r="C555" s="34" t="inlineStr">
        <is>
          <t>2027-05-30</t>
        </is>
      </c>
      <c r="D555" s="11">
        <f>G554</f>
        <v/>
      </c>
      <c r="E555" s="11">
        <f>MAX(0,D555*0.0027916666666666667)</f>
        <v/>
      </c>
      <c r="F555" s="11">
        <f>MAX(0,MIN(D555,1838.5-E555))</f>
        <v/>
      </c>
      <c r="G555" s="11">
        <f>MAX(0,D555-F555)</f>
        <v/>
      </c>
      <c r="H555" s="11">
        <f>H554+E555</f>
        <v/>
      </c>
      <c r="I555" s="11">
        <f>I554+F555</f>
        <v/>
      </c>
    </row>
    <row r="556">
      <c r="A556" s="34" t="n">
        <v>19</v>
      </c>
      <c r="B556" s="34" t="inlineStr">
        <is>
          <t>Jun</t>
        </is>
      </c>
      <c r="C556" s="34" t="inlineStr">
        <is>
          <t>2027-06-30</t>
        </is>
      </c>
      <c r="D556" s="11">
        <f>G555</f>
        <v/>
      </c>
      <c r="E556" s="11">
        <f>MAX(0,D556*0.0027916666666666667)</f>
        <v/>
      </c>
      <c r="F556" s="11">
        <f>MAX(0,MIN(D556,1838.5-E556))</f>
        <v/>
      </c>
      <c r="G556" s="11">
        <f>MAX(0,D556-F556)</f>
        <v/>
      </c>
      <c r="H556" s="11">
        <f>H555+E556</f>
        <v/>
      </c>
      <c r="I556" s="11">
        <f>I555+F556</f>
        <v/>
      </c>
    </row>
    <row r="557">
      <c r="A557" s="34" t="n">
        <v>20</v>
      </c>
      <c r="B557" s="34" t="inlineStr">
        <is>
          <t>Jul</t>
        </is>
      </c>
      <c r="C557" s="34" t="inlineStr">
        <is>
          <t>2027-07-30</t>
        </is>
      </c>
      <c r="D557" s="11">
        <f>G556</f>
        <v/>
      </c>
      <c r="E557" s="11">
        <f>MAX(0,D557*0.0027916666666666667)</f>
        <v/>
      </c>
      <c r="F557" s="11">
        <f>MAX(0,MIN(D557,1838.5-E557))</f>
        <v/>
      </c>
      <c r="G557" s="11">
        <f>MAX(0,D557-F557)</f>
        <v/>
      </c>
      <c r="H557" s="11">
        <f>H556+E557</f>
        <v/>
      </c>
      <c r="I557" s="11">
        <f>I556+F557</f>
        <v/>
      </c>
    </row>
    <row r="558">
      <c r="A558" s="34" t="n">
        <v>21</v>
      </c>
      <c r="B558" s="34" t="inlineStr">
        <is>
          <t>Aug</t>
        </is>
      </c>
      <c r="C558" s="34" t="inlineStr">
        <is>
          <t>2027-08-30</t>
        </is>
      </c>
      <c r="D558" s="11">
        <f>G557</f>
        <v/>
      </c>
      <c r="E558" s="11">
        <f>MAX(0,D558*0.0027916666666666667)</f>
        <v/>
      </c>
      <c r="F558" s="11">
        <f>MAX(0,MIN(D558,1838.5-E558))</f>
        <v/>
      </c>
      <c r="G558" s="11">
        <f>MAX(0,D558-F558)</f>
        <v/>
      </c>
      <c r="H558" s="11">
        <f>H557+E558</f>
        <v/>
      </c>
      <c r="I558" s="11">
        <f>I557+F558</f>
        <v/>
      </c>
    </row>
    <row r="559">
      <c r="A559" s="34" t="n">
        <v>22</v>
      </c>
      <c r="B559" s="34" t="inlineStr">
        <is>
          <t>Sep</t>
        </is>
      </c>
      <c r="C559" s="34" t="inlineStr">
        <is>
          <t>2027-09-30</t>
        </is>
      </c>
      <c r="D559" s="11">
        <f>G558</f>
        <v/>
      </c>
      <c r="E559" s="11">
        <f>MAX(0,D559*0.0027916666666666667)</f>
        <v/>
      </c>
      <c r="F559" s="11">
        <f>MAX(0,MIN(D559,1838.5-E559))</f>
        <v/>
      </c>
      <c r="G559" s="11">
        <f>MAX(0,D559-F559)</f>
        <v/>
      </c>
      <c r="H559" s="11">
        <f>H558+E559</f>
        <v/>
      </c>
      <c r="I559" s="11">
        <f>I558+F559</f>
        <v/>
      </c>
    </row>
    <row r="560">
      <c r="A560" s="34" t="n">
        <v>23</v>
      </c>
      <c r="B560" s="34" t="inlineStr">
        <is>
          <t>Oct</t>
        </is>
      </c>
      <c r="C560" s="34" t="inlineStr">
        <is>
          <t>2027-10-30</t>
        </is>
      </c>
      <c r="D560" s="11">
        <f>G559</f>
        <v/>
      </c>
      <c r="E560" s="11">
        <f>MAX(0,D560*0.0027916666666666667)</f>
        <v/>
      </c>
      <c r="F560" s="11">
        <f>MAX(0,MIN(D560,1838.5-E560))</f>
        <v/>
      </c>
      <c r="G560" s="11">
        <f>MAX(0,D560-F560)</f>
        <v/>
      </c>
      <c r="H560" s="11">
        <f>H559+E560</f>
        <v/>
      </c>
      <c r="I560" s="11">
        <f>I559+F560</f>
        <v/>
      </c>
    </row>
    <row r="561">
      <c r="A561" s="34" t="n">
        <v>24</v>
      </c>
      <c r="B561" s="34" t="inlineStr">
        <is>
          <t>Nov</t>
        </is>
      </c>
      <c r="C561" s="34" t="inlineStr">
        <is>
          <t>2027-11-30</t>
        </is>
      </c>
      <c r="D561" s="11">
        <f>G560</f>
        <v/>
      </c>
      <c r="E561" s="11">
        <f>MAX(0,D561*0.0027916666666666667)</f>
        <v/>
      </c>
      <c r="F561" s="11">
        <f>MAX(0,MIN(D561,1838.5-E561))</f>
        <v/>
      </c>
      <c r="G561" s="11">
        <f>MAX(0,D561-F561)</f>
        <v/>
      </c>
      <c r="H561" s="11">
        <f>H560+E561</f>
        <v/>
      </c>
      <c r="I561" s="11">
        <f>I560+F561</f>
        <v/>
      </c>
    </row>
    <row r="562">
      <c r="A562" s="34" t="n">
        <v>25</v>
      </c>
      <c r="B562" s="34" t="inlineStr">
        <is>
          <t>Dec</t>
        </is>
      </c>
      <c r="C562" s="34" t="inlineStr">
        <is>
          <t>2027-12-30</t>
        </is>
      </c>
      <c r="D562" s="11">
        <f>G561</f>
        <v/>
      </c>
      <c r="E562" s="11">
        <f>MAX(0,D562*0.0027916666666666667)</f>
        <v/>
      </c>
      <c r="F562" s="11">
        <f>MAX(0,MIN(D562,1838.5-E562))</f>
        <v/>
      </c>
      <c r="G562" s="11">
        <f>MAX(0,D562-F562)</f>
        <v/>
      </c>
      <c r="H562" s="11">
        <f>H561+E562</f>
        <v/>
      </c>
      <c r="I562" s="11">
        <f>I561+F562</f>
        <v/>
      </c>
    </row>
    <row r="563">
      <c r="A563" s="34" t="n">
        <v>26</v>
      </c>
      <c r="B563" s="34" t="inlineStr">
        <is>
          <t>Jan</t>
        </is>
      </c>
      <c r="C563" s="34" t="inlineStr">
        <is>
          <t>2028-01-30</t>
        </is>
      </c>
      <c r="D563" s="11">
        <f>G562</f>
        <v/>
      </c>
      <c r="E563" s="11">
        <f>MAX(0,D563*0.0027916666666666667)</f>
        <v/>
      </c>
      <c r="F563" s="11">
        <f>MAX(0,MIN(D563,1838.5-E563))</f>
        <v/>
      </c>
      <c r="G563" s="11">
        <f>MAX(0,D563-F563)</f>
        <v/>
      </c>
      <c r="H563" s="11">
        <f>H562+E563</f>
        <v/>
      </c>
      <c r="I563" s="11">
        <f>I562+F563</f>
        <v/>
      </c>
    </row>
    <row r="564">
      <c r="A564" s="34" t="n">
        <v>27</v>
      </c>
      <c r="B564" s="34" t="inlineStr">
        <is>
          <t>Feb</t>
        </is>
      </c>
      <c r="C564" s="34" t="inlineStr">
        <is>
          <t>2028-02-29</t>
        </is>
      </c>
      <c r="D564" s="11">
        <f>G563</f>
        <v/>
      </c>
      <c r="E564" s="11">
        <f>MAX(0,D564*0.0027916666666666667)</f>
        <v/>
      </c>
      <c r="F564" s="11">
        <f>MAX(0,MIN(D564,1838.5-E564))</f>
        <v/>
      </c>
      <c r="G564" s="11">
        <f>MAX(0,D564-F564)</f>
        <v/>
      </c>
      <c r="H564" s="11">
        <f>H563+E564</f>
        <v/>
      </c>
      <c r="I564" s="11">
        <f>I563+F564</f>
        <v/>
      </c>
    </row>
    <row r="565">
      <c r="A565" s="34" t="n">
        <v>28</v>
      </c>
      <c r="B565" s="34" t="inlineStr">
        <is>
          <t>Mar</t>
        </is>
      </c>
      <c r="C565" s="34" t="inlineStr">
        <is>
          <t>2028-03-30</t>
        </is>
      </c>
      <c r="D565" s="11">
        <f>G564</f>
        <v/>
      </c>
      <c r="E565" s="11">
        <f>MAX(0,D565*0.0027916666666666667)</f>
        <v/>
      </c>
      <c r="F565" s="11">
        <f>MAX(0,MIN(D565,1838.5-E565))</f>
        <v/>
      </c>
      <c r="G565" s="11">
        <f>MAX(0,D565-F565)</f>
        <v/>
      </c>
      <c r="H565" s="11">
        <f>H564+E565</f>
        <v/>
      </c>
      <c r="I565" s="11">
        <f>I564+F565</f>
        <v/>
      </c>
    </row>
    <row r="566">
      <c r="A566" s="34" t="n">
        <v>29</v>
      </c>
      <c r="B566" s="34" t="inlineStr">
        <is>
          <t>Apr</t>
        </is>
      </c>
      <c r="C566" s="34" t="inlineStr">
        <is>
          <t>2028-04-30</t>
        </is>
      </c>
      <c r="D566" s="11">
        <f>G565</f>
        <v/>
      </c>
      <c r="E566" s="11">
        <f>MAX(0,D566*0.0027916666666666667)</f>
        <v/>
      </c>
      <c r="F566" s="11">
        <f>MAX(0,MIN(D566,1838.5-E566))</f>
        <v/>
      </c>
      <c r="G566" s="11">
        <f>MAX(0,D566-F566)</f>
        <v/>
      </c>
      <c r="H566" s="11">
        <f>H565+E566</f>
        <v/>
      </c>
      <c r="I566" s="11">
        <f>I565+F566</f>
        <v/>
      </c>
    </row>
    <row r="567">
      <c r="A567" s="34" t="n">
        <v>30</v>
      </c>
      <c r="B567" s="34" t="inlineStr">
        <is>
          <t>May</t>
        </is>
      </c>
      <c r="C567" s="34" t="inlineStr">
        <is>
          <t>2028-05-30</t>
        </is>
      </c>
      <c r="D567" s="11">
        <f>G566</f>
        <v/>
      </c>
      <c r="E567" s="11">
        <f>MAX(0,D567*0.0027916666666666667)</f>
        <v/>
      </c>
      <c r="F567" s="11">
        <f>MAX(0,MIN(D567,1838.5-E567))</f>
        <v/>
      </c>
      <c r="G567" s="11">
        <f>MAX(0,D567-F567)</f>
        <v/>
      </c>
      <c r="H567" s="11">
        <f>H566+E567</f>
        <v/>
      </c>
      <c r="I567" s="11">
        <f>I566+F567</f>
        <v/>
      </c>
    </row>
    <row r="568">
      <c r="A568" s="34" t="n">
        <v>31</v>
      </c>
      <c r="B568" s="34" t="inlineStr">
        <is>
          <t>Jun</t>
        </is>
      </c>
      <c r="C568" s="34" t="inlineStr">
        <is>
          <t>2028-06-30</t>
        </is>
      </c>
      <c r="D568" s="11">
        <f>G567</f>
        <v/>
      </c>
      <c r="E568" s="11">
        <f>MAX(0,D568*0.0027916666666666667)</f>
        <v/>
      </c>
      <c r="F568" s="11">
        <f>MAX(0,MIN(D568,1838.5-E568))</f>
        <v/>
      </c>
      <c r="G568" s="11">
        <f>MAX(0,D568-F568)</f>
        <v/>
      </c>
      <c r="H568" s="11">
        <f>H567+E568</f>
        <v/>
      </c>
      <c r="I568" s="11">
        <f>I567+F568</f>
        <v/>
      </c>
    </row>
    <row r="569">
      <c r="A569" s="34" t="n">
        <v>32</v>
      </c>
      <c r="B569" s="34" t="inlineStr">
        <is>
          <t>Jul</t>
        </is>
      </c>
      <c r="C569" s="34" t="inlineStr">
        <is>
          <t>2028-07-30</t>
        </is>
      </c>
      <c r="D569" s="11">
        <f>G568</f>
        <v/>
      </c>
      <c r="E569" s="11">
        <f>MAX(0,D569*0.0027916666666666667)</f>
        <v/>
      </c>
      <c r="F569" s="11">
        <f>MAX(0,MIN(D569,1838.5-E569))</f>
        <v/>
      </c>
      <c r="G569" s="11">
        <f>MAX(0,D569-F569)</f>
        <v/>
      </c>
      <c r="H569" s="11">
        <f>H568+E569</f>
        <v/>
      </c>
      <c r="I569" s="11">
        <f>I568+F569</f>
        <v/>
      </c>
    </row>
    <row r="570">
      <c r="A570" s="34" t="n">
        <v>33</v>
      </c>
      <c r="B570" s="34" t="inlineStr">
        <is>
          <t>Aug</t>
        </is>
      </c>
      <c r="C570" s="34" t="inlineStr">
        <is>
          <t>2028-08-30</t>
        </is>
      </c>
      <c r="D570" s="11">
        <f>G569</f>
        <v/>
      </c>
      <c r="E570" s="11">
        <f>MAX(0,D570*0.0027916666666666667)</f>
        <v/>
      </c>
      <c r="F570" s="11">
        <f>MAX(0,MIN(D570,1838.5-E570))</f>
        <v/>
      </c>
      <c r="G570" s="11">
        <f>MAX(0,D570-F570)</f>
        <v/>
      </c>
      <c r="H570" s="11">
        <f>H569+E570</f>
        <v/>
      </c>
      <c r="I570" s="11">
        <f>I569+F570</f>
        <v/>
      </c>
    </row>
    <row r="571">
      <c r="A571" s="34" t="n">
        <v>34</v>
      </c>
      <c r="B571" s="34" t="inlineStr">
        <is>
          <t>Sep</t>
        </is>
      </c>
      <c r="C571" s="34" t="inlineStr">
        <is>
          <t>2028-09-30</t>
        </is>
      </c>
      <c r="D571" s="11">
        <f>G570</f>
        <v/>
      </c>
      <c r="E571" s="11">
        <f>MAX(0,D571*0.0027916666666666667)</f>
        <v/>
      </c>
      <c r="F571" s="11">
        <f>MAX(0,MIN(D571,1838.5-E571))</f>
        <v/>
      </c>
      <c r="G571" s="11">
        <f>MAX(0,D571-F571)</f>
        <v/>
      </c>
      <c r="H571" s="11">
        <f>H570+E571</f>
        <v/>
      </c>
      <c r="I571" s="11">
        <f>I570+F571</f>
        <v/>
      </c>
    </row>
    <row r="572">
      <c r="A572" s="34" t="n">
        <v>35</v>
      </c>
      <c r="B572" s="34" t="inlineStr">
        <is>
          <t>Oct</t>
        </is>
      </c>
      <c r="C572" s="34" t="inlineStr">
        <is>
          <t>2028-10-30</t>
        </is>
      </c>
      <c r="D572" s="11">
        <f>G571</f>
        <v/>
      </c>
      <c r="E572" s="11">
        <f>MAX(0,D572*0.0027916666666666667)</f>
        <v/>
      </c>
      <c r="F572" s="11">
        <f>MAX(0,MIN(D572,1838.5-E572))</f>
        <v/>
      </c>
      <c r="G572" s="11">
        <f>MAX(0,D572-F572)</f>
        <v/>
      </c>
      <c r="H572" s="11">
        <f>H571+E572</f>
        <v/>
      </c>
      <c r="I572" s="11">
        <f>I571+F572</f>
        <v/>
      </c>
    </row>
    <row r="573">
      <c r="A573" s="34" t="n">
        <v>36</v>
      </c>
      <c r="B573" s="34" t="inlineStr">
        <is>
          <t>Nov</t>
        </is>
      </c>
      <c r="C573" s="34" t="inlineStr">
        <is>
          <t>2028-11-30</t>
        </is>
      </c>
      <c r="D573" s="11">
        <f>G572</f>
        <v/>
      </c>
      <c r="E573" s="11">
        <f>MAX(0,D573*0.0027916666666666667)</f>
        <v/>
      </c>
      <c r="F573" s="11">
        <f>MAX(0,MIN(D573,1838.5-E573))</f>
        <v/>
      </c>
      <c r="G573" s="11">
        <f>MAX(0,D573-F573)</f>
        <v/>
      </c>
      <c r="H573" s="11">
        <f>H572+E573</f>
        <v/>
      </c>
      <c r="I573" s="11">
        <f>I572+F573</f>
        <v/>
      </c>
    </row>
    <row r="574">
      <c r="A574" s="34" t="n">
        <v>37</v>
      </c>
      <c r="B574" s="34" t="inlineStr">
        <is>
          <t>Dec</t>
        </is>
      </c>
      <c r="C574" s="34" t="inlineStr">
        <is>
          <t>2028-12-30</t>
        </is>
      </c>
      <c r="D574" s="11">
        <f>G573</f>
        <v/>
      </c>
      <c r="E574" s="11">
        <f>MAX(0,D574*0.0027916666666666667)</f>
        <v/>
      </c>
      <c r="F574" s="11">
        <f>MAX(0,MIN(D574,1838.5-E574))</f>
        <v/>
      </c>
      <c r="G574" s="11">
        <f>MAX(0,D574-F574)</f>
        <v/>
      </c>
      <c r="H574" s="11">
        <f>H573+E574</f>
        <v/>
      </c>
      <c r="I574" s="11">
        <f>I573+F574</f>
        <v/>
      </c>
    </row>
    <row r="575">
      <c r="A575" s="34" t="n">
        <v>38</v>
      </c>
      <c r="B575" s="34" t="inlineStr">
        <is>
          <t>Jan</t>
        </is>
      </c>
      <c r="C575" s="34" t="inlineStr">
        <is>
          <t>2029-01-30</t>
        </is>
      </c>
      <c r="D575" s="11">
        <f>G574</f>
        <v/>
      </c>
      <c r="E575" s="11">
        <f>MAX(0,D575*0.0027916666666666667)</f>
        <v/>
      </c>
      <c r="F575" s="11">
        <f>MAX(0,MIN(D575,1838.5-E575))</f>
        <v/>
      </c>
      <c r="G575" s="11">
        <f>MAX(0,D575-F575)</f>
        <v/>
      </c>
      <c r="H575" s="11">
        <f>H574+E575</f>
        <v/>
      </c>
      <c r="I575" s="11">
        <f>I574+F575</f>
        <v/>
      </c>
    </row>
    <row r="576">
      <c r="A576" s="34" t="n">
        <v>39</v>
      </c>
      <c r="B576" s="34" t="inlineStr">
        <is>
          <t>Feb</t>
        </is>
      </c>
      <c r="C576" s="34" t="inlineStr">
        <is>
          <t>2029-02-28</t>
        </is>
      </c>
      <c r="D576" s="11">
        <f>G575</f>
        <v/>
      </c>
      <c r="E576" s="11">
        <f>MAX(0,D576*0.0027916666666666667)</f>
        <v/>
      </c>
      <c r="F576" s="11">
        <f>MAX(0,MIN(D576,1838.5-E576))</f>
        <v/>
      </c>
      <c r="G576" s="11">
        <f>MAX(0,D576-F576)</f>
        <v/>
      </c>
      <c r="H576" s="11">
        <f>H575+E576</f>
        <v/>
      </c>
      <c r="I576" s="11">
        <f>I575+F576</f>
        <v/>
      </c>
    </row>
    <row r="577">
      <c r="A577" s="34" t="n">
        <v>40</v>
      </c>
      <c r="B577" s="34" t="inlineStr">
        <is>
          <t>Mar</t>
        </is>
      </c>
      <c r="C577" s="34" t="inlineStr">
        <is>
          <t>2029-03-30</t>
        </is>
      </c>
      <c r="D577" s="11">
        <f>G576</f>
        <v/>
      </c>
      <c r="E577" s="11">
        <f>MAX(0,D577*0.0027916666666666667)</f>
        <v/>
      </c>
      <c r="F577" s="11">
        <f>MAX(0,MIN(D577,1838.5-E577))</f>
        <v/>
      </c>
      <c r="G577" s="11">
        <f>MAX(0,D577-F577)</f>
        <v/>
      </c>
      <c r="H577" s="11">
        <f>H576+E577</f>
        <v/>
      </c>
      <c r="I577" s="11">
        <f>I576+F577</f>
        <v/>
      </c>
    </row>
    <row r="578">
      <c r="A578" s="34" t="n">
        <v>41</v>
      </c>
      <c r="B578" s="34" t="inlineStr">
        <is>
          <t>Apr</t>
        </is>
      </c>
      <c r="C578" s="34" t="inlineStr">
        <is>
          <t>2029-04-30</t>
        </is>
      </c>
      <c r="D578" s="11">
        <f>G577</f>
        <v/>
      </c>
      <c r="E578" s="11">
        <f>MAX(0,D578*0.0027916666666666667)</f>
        <v/>
      </c>
      <c r="F578" s="11">
        <f>MAX(0,MIN(D578,1838.5-E578))</f>
        <v/>
      </c>
      <c r="G578" s="11">
        <f>MAX(0,D578-F578)</f>
        <v/>
      </c>
      <c r="H578" s="11">
        <f>H577+E578</f>
        <v/>
      </c>
      <c r="I578" s="11">
        <f>I577+F578</f>
        <v/>
      </c>
    </row>
    <row r="579">
      <c r="A579" s="34" t="n">
        <v>42</v>
      </c>
      <c r="B579" s="34" t="inlineStr">
        <is>
          <t>May</t>
        </is>
      </c>
      <c r="C579" s="34" t="inlineStr">
        <is>
          <t>2029-05-30</t>
        </is>
      </c>
      <c r="D579" s="11">
        <f>G578</f>
        <v/>
      </c>
      <c r="E579" s="11">
        <f>MAX(0,D579*0.0027916666666666667)</f>
        <v/>
      </c>
      <c r="F579" s="11">
        <f>MAX(0,MIN(D579,1838.5-E579))</f>
        <v/>
      </c>
      <c r="G579" s="11">
        <f>MAX(0,D579-F579)</f>
        <v/>
      </c>
      <c r="H579" s="11">
        <f>H578+E579</f>
        <v/>
      </c>
      <c r="I579" s="11">
        <f>I578+F579</f>
        <v/>
      </c>
    </row>
    <row r="580">
      <c r="A580" s="34" t="n">
        <v>43</v>
      </c>
      <c r="B580" s="34" t="inlineStr">
        <is>
          <t>Jun</t>
        </is>
      </c>
      <c r="C580" s="34" t="inlineStr">
        <is>
          <t>2029-06-30</t>
        </is>
      </c>
      <c r="D580" s="11">
        <f>G579</f>
        <v/>
      </c>
      <c r="E580" s="11">
        <f>MAX(0,D580*0.0027916666666666667)</f>
        <v/>
      </c>
      <c r="F580" s="11">
        <f>MAX(0,MIN(D580,1838.5-E580))</f>
        <v/>
      </c>
      <c r="G580" s="11">
        <f>MAX(0,D580-F580)</f>
        <v/>
      </c>
      <c r="H580" s="11">
        <f>H579+E580</f>
        <v/>
      </c>
      <c r="I580" s="11">
        <f>I579+F580</f>
        <v/>
      </c>
    </row>
    <row r="581">
      <c r="A581" s="34" t="n">
        <v>44</v>
      </c>
      <c r="B581" s="34" t="inlineStr">
        <is>
          <t>Jul</t>
        </is>
      </c>
      <c r="C581" s="34" t="inlineStr">
        <is>
          <t>2029-07-30</t>
        </is>
      </c>
      <c r="D581" s="11">
        <f>G580</f>
        <v/>
      </c>
      <c r="E581" s="11">
        <f>MAX(0,D581*0.0027916666666666667)</f>
        <v/>
      </c>
      <c r="F581" s="11">
        <f>MAX(0,MIN(D581,1838.5-E581))</f>
        <v/>
      </c>
      <c r="G581" s="11">
        <f>MAX(0,D581-F581)</f>
        <v/>
      </c>
      <c r="H581" s="11">
        <f>H580+E581</f>
        <v/>
      </c>
      <c r="I581" s="11">
        <f>I580+F581</f>
        <v/>
      </c>
    </row>
    <row r="582">
      <c r="A582" s="34" t="n">
        <v>45</v>
      </c>
      <c r="B582" s="34" t="inlineStr">
        <is>
          <t>Aug</t>
        </is>
      </c>
      <c r="C582" s="34" t="inlineStr">
        <is>
          <t>2029-08-30</t>
        </is>
      </c>
      <c r="D582" s="11">
        <f>G581</f>
        <v/>
      </c>
      <c r="E582" s="11">
        <f>MAX(0,D582*0.0027916666666666667)</f>
        <v/>
      </c>
      <c r="F582" s="11">
        <f>MAX(0,MIN(D582,1838.5-E582))</f>
        <v/>
      </c>
      <c r="G582" s="11">
        <f>MAX(0,D582-F582)</f>
        <v/>
      </c>
      <c r="H582" s="11">
        <f>H581+E582</f>
        <v/>
      </c>
      <c r="I582" s="11">
        <f>I581+F582</f>
        <v/>
      </c>
    </row>
    <row r="583">
      <c r="A583" s="34" t="n">
        <v>46</v>
      </c>
      <c r="B583" s="34" t="inlineStr">
        <is>
          <t>Sep</t>
        </is>
      </c>
      <c r="C583" s="34" t="inlineStr">
        <is>
          <t>2029-09-30</t>
        </is>
      </c>
      <c r="D583" s="11">
        <f>G582</f>
        <v/>
      </c>
      <c r="E583" s="11">
        <f>MAX(0,D583*0.0027916666666666667)</f>
        <v/>
      </c>
      <c r="F583" s="11">
        <f>MAX(0,MIN(D583,1838.5-E583))</f>
        <v/>
      </c>
      <c r="G583" s="11">
        <f>MAX(0,D583-F583)</f>
        <v/>
      </c>
      <c r="H583" s="11">
        <f>H582+E583</f>
        <v/>
      </c>
      <c r="I583" s="11">
        <f>I582+F583</f>
        <v/>
      </c>
    </row>
    <row r="584">
      <c r="A584" s="34" t="n">
        <v>47</v>
      </c>
      <c r="B584" s="34" t="inlineStr">
        <is>
          <t>Oct</t>
        </is>
      </c>
      <c r="C584" s="34" t="inlineStr">
        <is>
          <t>2029-10-30</t>
        </is>
      </c>
      <c r="D584" s="11">
        <f>G583</f>
        <v/>
      </c>
      <c r="E584" s="11">
        <f>MAX(0,D584*0.0027916666666666667)</f>
        <v/>
      </c>
      <c r="F584" s="11">
        <f>MAX(0,MIN(D584,1838.5-E584))</f>
        <v/>
      </c>
      <c r="G584" s="11">
        <f>MAX(0,D584-F584)</f>
        <v/>
      </c>
      <c r="H584" s="11">
        <f>H583+E584</f>
        <v/>
      </c>
      <c r="I584" s="11">
        <f>I583+F584</f>
        <v/>
      </c>
    </row>
    <row r="585">
      <c r="A585" s="34" t="n">
        <v>48</v>
      </c>
      <c r="B585" s="34" t="inlineStr">
        <is>
          <t>Nov</t>
        </is>
      </c>
      <c r="C585" s="34" t="inlineStr">
        <is>
          <t>2029-11-30</t>
        </is>
      </c>
      <c r="D585" s="11">
        <f>G584</f>
        <v/>
      </c>
      <c r="E585" s="11">
        <f>MAX(0,D585*0.0027916666666666667)</f>
        <v/>
      </c>
      <c r="F585" s="11">
        <f>MAX(0,MIN(D585,1838.5-E585))</f>
        <v/>
      </c>
      <c r="G585" s="11">
        <f>MAX(0,D585-F585)</f>
        <v/>
      </c>
      <c r="H585" s="11">
        <f>H584+E585</f>
        <v/>
      </c>
      <c r="I585" s="11">
        <f>I584+F585</f>
        <v/>
      </c>
    </row>
    <row r="586">
      <c r="A586" s="34" t="n">
        <v>49</v>
      </c>
      <c r="B586" s="34" t="inlineStr">
        <is>
          <t>Dec</t>
        </is>
      </c>
      <c r="C586" s="34" t="inlineStr">
        <is>
          <t>2029-12-30</t>
        </is>
      </c>
      <c r="D586" s="11">
        <f>G585</f>
        <v/>
      </c>
      <c r="E586" s="11">
        <f>MAX(0,D586*0.0027916666666666667)</f>
        <v/>
      </c>
      <c r="F586" s="11">
        <f>MAX(0,MIN(D586,1838.5-E586))</f>
        <v/>
      </c>
      <c r="G586" s="11">
        <f>MAX(0,D586-F586)</f>
        <v/>
      </c>
      <c r="H586" s="11">
        <f>H585+E586</f>
        <v/>
      </c>
      <c r="I586" s="11">
        <f>I585+F586</f>
        <v/>
      </c>
    </row>
    <row r="587">
      <c r="A587" s="34" t="n">
        <v>50</v>
      </c>
      <c r="B587" s="34" t="inlineStr">
        <is>
          <t>Jan</t>
        </is>
      </c>
      <c r="C587" s="34" t="inlineStr">
        <is>
          <t>2030-01-30</t>
        </is>
      </c>
      <c r="D587" s="11">
        <f>G586</f>
        <v/>
      </c>
      <c r="E587" s="11">
        <f>MAX(0,D587*0.0027916666666666667)</f>
        <v/>
      </c>
      <c r="F587" s="11">
        <f>MAX(0,MIN(D587,1838.5-E587))</f>
        <v/>
      </c>
      <c r="G587" s="11">
        <f>MAX(0,D587-F587)</f>
        <v/>
      </c>
      <c r="H587" s="11">
        <f>H586+E587</f>
        <v/>
      </c>
      <c r="I587" s="11">
        <f>I586+F587</f>
        <v/>
      </c>
    </row>
    <row r="588">
      <c r="A588" s="34" t="n">
        <v>51</v>
      </c>
      <c r="B588" s="34" t="inlineStr">
        <is>
          <t>Feb</t>
        </is>
      </c>
      <c r="C588" s="34" t="inlineStr">
        <is>
          <t>2030-02-28</t>
        </is>
      </c>
      <c r="D588" s="11">
        <f>G587</f>
        <v/>
      </c>
      <c r="E588" s="11">
        <f>MAX(0,D588*0.0027916666666666667)</f>
        <v/>
      </c>
      <c r="F588" s="11">
        <f>MAX(0,MIN(D588,1838.5-E588))</f>
        <v/>
      </c>
      <c r="G588" s="11">
        <f>MAX(0,D588-F588)</f>
        <v/>
      </c>
      <c r="H588" s="11">
        <f>H587+E588</f>
        <v/>
      </c>
      <c r="I588" s="11">
        <f>I587+F588</f>
        <v/>
      </c>
    </row>
    <row r="589">
      <c r="A589" s="34" t="n">
        <v>52</v>
      </c>
      <c r="B589" s="34" t="inlineStr">
        <is>
          <t>Mar</t>
        </is>
      </c>
      <c r="C589" s="34" t="inlineStr">
        <is>
          <t>2030-03-30</t>
        </is>
      </c>
      <c r="D589" s="11">
        <f>G588</f>
        <v/>
      </c>
      <c r="E589" s="11">
        <f>MAX(0,D589*0.0027916666666666667)</f>
        <v/>
      </c>
      <c r="F589" s="11">
        <f>MAX(0,MIN(D589,1838.5-E589))</f>
        <v/>
      </c>
      <c r="G589" s="11">
        <f>MAX(0,D589-F589)</f>
        <v/>
      </c>
      <c r="H589" s="11">
        <f>H588+E589</f>
        <v/>
      </c>
      <c r="I589" s="11">
        <f>I588+F589</f>
        <v/>
      </c>
    </row>
    <row r="590">
      <c r="A590" s="34" t="n">
        <v>53</v>
      </c>
      <c r="B590" s="34" t="inlineStr">
        <is>
          <t>Apr</t>
        </is>
      </c>
      <c r="C590" s="34" t="inlineStr">
        <is>
          <t>2030-04-30</t>
        </is>
      </c>
      <c r="D590" s="11">
        <f>G589</f>
        <v/>
      </c>
      <c r="E590" s="11">
        <f>MAX(0,D590*0.0027916666666666667)</f>
        <v/>
      </c>
      <c r="F590" s="11">
        <f>MAX(0,MIN(D590,1838.5-E590))</f>
        <v/>
      </c>
      <c r="G590" s="11">
        <f>MAX(0,D590-F590)</f>
        <v/>
      </c>
      <c r="H590" s="11">
        <f>H589+E590</f>
        <v/>
      </c>
      <c r="I590" s="11">
        <f>I589+F590</f>
        <v/>
      </c>
    </row>
    <row r="591">
      <c r="A591" s="34" t="n">
        <v>54</v>
      </c>
      <c r="B591" s="34" t="inlineStr">
        <is>
          <t>May</t>
        </is>
      </c>
      <c r="C591" s="34" t="inlineStr">
        <is>
          <t>2030-05-30</t>
        </is>
      </c>
      <c r="D591" s="11">
        <f>G590</f>
        <v/>
      </c>
      <c r="E591" s="11">
        <f>MAX(0,D591*0.0027916666666666667)</f>
        <v/>
      </c>
      <c r="F591" s="11">
        <f>MAX(0,MIN(D591,1838.5-E591))</f>
        <v/>
      </c>
      <c r="G591" s="11">
        <f>MAX(0,D591-F591)</f>
        <v/>
      </c>
      <c r="H591" s="11">
        <f>H590+E591</f>
        <v/>
      </c>
      <c r="I591" s="11">
        <f>I590+F591</f>
        <v/>
      </c>
    </row>
    <row r="592">
      <c r="A592" s="34" t="n">
        <v>55</v>
      </c>
      <c r="B592" s="34" t="inlineStr">
        <is>
          <t>Jun</t>
        </is>
      </c>
      <c r="C592" s="34" t="inlineStr">
        <is>
          <t>2030-06-30</t>
        </is>
      </c>
      <c r="D592" s="11">
        <f>G591</f>
        <v/>
      </c>
      <c r="E592" s="11">
        <f>MAX(0,D592*0.0027916666666666667)</f>
        <v/>
      </c>
      <c r="F592" s="11">
        <f>MAX(0,MIN(D592,1838.5-E592))</f>
        <v/>
      </c>
      <c r="G592" s="11">
        <f>MAX(0,D592-F592)</f>
        <v/>
      </c>
      <c r="H592" s="11">
        <f>H591+E592</f>
        <v/>
      </c>
      <c r="I592" s="11">
        <f>I591+F592</f>
        <v/>
      </c>
    </row>
    <row r="593">
      <c r="A593" s="34" t="n">
        <v>56</v>
      </c>
      <c r="B593" s="34" t="inlineStr">
        <is>
          <t>Jul</t>
        </is>
      </c>
      <c r="C593" s="34" t="inlineStr">
        <is>
          <t>2030-07-30</t>
        </is>
      </c>
      <c r="D593" s="11">
        <f>G592</f>
        <v/>
      </c>
      <c r="E593" s="11">
        <f>MAX(0,D593*0.0027916666666666667)</f>
        <v/>
      </c>
      <c r="F593" s="11">
        <f>MAX(0,MIN(D593,1838.5-E593))</f>
        <v/>
      </c>
      <c r="G593" s="11">
        <f>MAX(0,D593-F593)</f>
        <v/>
      </c>
      <c r="H593" s="11">
        <f>H592+E593</f>
        <v/>
      </c>
      <c r="I593" s="11">
        <f>I592+F593</f>
        <v/>
      </c>
    </row>
    <row r="594">
      <c r="A594" s="34" t="n">
        <v>57</v>
      </c>
      <c r="B594" s="34" t="inlineStr">
        <is>
          <t>Aug</t>
        </is>
      </c>
      <c r="C594" s="34" t="inlineStr">
        <is>
          <t>2030-08-30</t>
        </is>
      </c>
      <c r="D594" s="11">
        <f>G593</f>
        <v/>
      </c>
      <c r="E594" s="11">
        <f>MAX(0,D594*0.0027916666666666667)</f>
        <v/>
      </c>
      <c r="F594" s="11">
        <f>MAX(0,MIN(D594,1838.5-E594))</f>
        <v/>
      </c>
      <c r="G594" s="11">
        <f>MAX(0,D594-F594)</f>
        <v/>
      </c>
      <c r="H594" s="11">
        <f>H593+E594</f>
        <v/>
      </c>
      <c r="I594" s="11">
        <f>I593+F594</f>
        <v/>
      </c>
    </row>
    <row r="595">
      <c r="A595" s="34" t="n">
        <v>58</v>
      </c>
      <c r="B595" s="34" t="inlineStr">
        <is>
          <t>Sep</t>
        </is>
      </c>
      <c r="C595" s="34" t="inlineStr">
        <is>
          <t>2030-09-30</t>
        </is>
      </c>
      <c r="D595" s="11">
        <f>G594</f>
        <v/>
      </c>
      <c r="E595" s="11">
        <f>MAX(0,D595*0.0027916666666666667)</f>
        <v/>
      </c>
      <c r="F595" s="11">
        <f>MAX(0,MIN(D595,1838.5-E595))</f>
        <v/>
      </c>
      <c r="G595" s="11">
        <f>MAX(0,D595-F595)</f>
        <v/>
      </c>
      <c r="H595" s="11">
        <f>H594+E595</f>
        <v/>
      </c>
      <c r="I595" s="11">
        <f>I594+F595</f>
        <v/>
      </c>
    </row>
    <row r="596">
      <c r="A596" s="34" t="n">
        <v>59</v>
      </c>
      <c r="B596" s="34" t="inlineStr">
        <is>
          <t>Oct</t>
        </is>
      </c>
      <c r="C596" s="34" t="inlineStr">
        <is>
          <t>2030-10-30</t>
        </is>
      </c>
      <c r="D596" s="11">
        <f>G595</f>
        <v/>
      </c>
      <c r="E596" s="11">
        <f>MAX(0,D596*0.0027916666666666667)</f>
        <v/>
      </c>
      <c r="F596" s="11">
        <f>MAX(0,MIN(D596,1838.5-E596))</f>
        <v/>
      </c>
      <c r="G596" s="11">
        <f>MAX(0,D596-F596)</f>
        <v/>
      </c>
      <c r="H596" s="11">
        <f>H595+E596</f>
        <v/>
      </c>
      <c r="I596" s="11">
        <f>I595+F596</f>
        <v/>
      </c>
    </row>
    <row r="597">
      <c r="A597" s="34" t="n">
        <v>60</v>
      </c>
      <c r="B597" s="34" t="inlineStr">
        <is>
          <t>Nov</t>
        </is>
      </c>
      <c r="C597" s="34" t="inlineStr">
        <is>
          <t>2030-11-30</t>
        </is>
      </c>
      <c r="D597" s="11">
        <f>G596</f>
        <v/>
      </c>
      <c r="E597" s="11">
        <f>MAX(0,D597*0.0027916666666666667)</f>
        <v/>
      </c>
      <c r="F597" s="11">
        <f>MAX(0,MIN(D597,1838.5-E597))</f>
        <v/>
      </c>
      <c r="G597" s="11">
        <f>MAX(0,D597-F597)</f>
        <v/>
      </c>
      <c r="H597" s="11">
        <f>H596+E597</f>
        <v/>
      </c>
      <c r="I597" s="11">
        <f>I596+F597</f>
        <v/>
      </c>
    </row>
    <row r="598">
      <c r="A598" s="73" t="n"/>
      <c r="B598" s="74" t="inlineStr">
        <is>
          <t>TOTAL</t>
        </is>
      </c>
      <c r="C598" s="73" t="n"/>
      <c r="D598" s="73" t="n"/>
      <c r="E598" s="77">
        <f>SUM(E538:E597)</f>
        <v/>
      </c>
      <c r="F598" s="77">
        <f>SUM(F538:F597)</f>
        <v/>
      </c>
      <c r="G598" s="73" t="n"/>
      <c r="H598" s="73" t="n"/>
      <c r="I598" s="73" t="n"/>
    </row>
    <row r="601">
      <c r="A601" s="39" t="inlineStr">
        <is>
          <t>RECONCILIATION</t>
        </is>
      </c>
    </row>
    <row r="602">
      <c r="B602" t="inlineStr">
        <is>
          <t>Total Balance per Schedule</t>
        </is>
      </c>
      <c r="C602" s="31" t="n">
        <v>3358482</v>
      </c>
    </row>
    <row r="603">
      <c r="B603" t="inlineStr">
        <is>
          <t>Expected Total (per task)</t>
        </is>
      </c>
      <c r="C603" s="31" t="n">
        <v>3358483</v>
      </c>
    </row>
    <row r="604">
      <c r="B604" t="inlineStr">
        <is>
          <t>Variance</t>
        </is>
      </c>
      <c r="C604" s="31">
        <f>C602-C603</f>
        <v/>
      </c>
    </row>
    <row r="605">
      <c r="B605" t="inlineStr">
        <is>
          <t>Total Monthly Payment</t>
        </is>
      </c>
      <c r="C605" s="31" t="n">
        <v>68805.69</v>
      </c>
    </row>
  </sheetData>
  <mergeCells count="20">
    <mergeCell ref="A41:I41"/>
    <mergeCell ref="A177:I177"/>
    <mergeCell ref="A522:I522"/>
    <mergeCell ref="A27:I27"/>
    <mergeCell ref="A3:I3"/>
    <mergeCell ref="A489:I489"/>
    <mergeCell ref="A116:I116"/>
    <mergeCell ref="A601:I601"/>
    <mergeCell ref="A436:I436"/>
    <mergeCell ref="A280:I280"/>
    <mergeCell ref="A332:I332"/>
    <mergeCell ref="A102:I102"/>
    <mergeCell ref="A475:I475"/>
    <mergeCell ref="A266:I266"/>
    <mergeCell ref="A191:I191"/>
    <mergeCell ref="A536:I536"/>
    <mergeCell ref="A1:I1"/>
    <mergeCell ref="A346:I346"/>
    <mergeCell ref="A16:I16"/>
    <mergeCell ref="A422:I422"/>
  </mergeCells>
  <pageMargins left="0.75" right="0.75" top="1" bottom="1" header="0.5" footer="0.5"/>
  <legacyDrawing xmlns:r="http://schemas.openxmlformats.org/officeDocument/2006/relationships" r:id="anysvml"/>
</worksheet>
</file>

<file path=xl/worksheets/sheet11.xml><?xml version="1.0" encoding="utf-8"?>
<worksheet xmlns="http://schemas.openxmlformats.org/spreadsheetml/2006/main">
  <sheetPr>
    <tabColor rgb="00808080"/>
    <outlinePr summaryBelow="1" summaryRight="1"/>
    <pageSetUpPr/>
  </sheetPr>
  <dimension ref="A1:G972"/>
  <sheetViews>
    <sheetView workbookViewId="0">
      <selection activeCell="A1" sqref="A1"/>
    </sheetView>
  </sheetViews>
  <sheetFormatPr baseColWidth="8" defaultRowHeight="15"/>
  <cols>
    <col width="14" customWidth="1" min="1" max="1"/>
    <col width="38" customWidth="1" min="2" max="2"/>
    <col width="20" customWidth="1" min="3" max="3"/>
    <col width="14" customWidth="1" min="4" max="4"/>
    <col width="14" customWidth="1" min="5" max="5"/>
    <col width="16" customWidth="1" min="6" max="6"/>
    <col width="14" customWidth="1" min="7" max="7"/>
  </cols>
  <sheetData>
    <row r="1">
      <c r="A1" s="65" t="inlineStr">
        <is>
          <t>PACCAR FINANCIAL - CONSOLIDATED LOAN SUMMARY</t>
        </is>
      </c>
      <c r="B1" s="78" t="n"/>
      <c r="C1" s="78" t="n"/>
      <c r="D1" s="78" t="n"/>
      <c r="E1" s="78" t="n"/>
      <c r="F1" s="78" t="n"/>
      <c r="G1" s="78" t="n"/>
    </row>
    <row r="3">
      <c r="B3" t="inlineStr">
        <is>
          <t>As of Date</t>
        </is>
      </c>
      <c r="C3" s="12" t="n">
        <v>45991</v>
      </c>
    </row>
    <row r="4">
      <c r="B4" t="inlineStr">
        <is>
          <t>Number of Loans</t>
        </is>
      </c>
      <c r="C4">
        <f>22</f>
        <v/>
      </c>
    </row>
    <row r="5">
      <c r="B5" t="inlineStr">
        <is>
          <t>Total Remaining Balance</t>
        </is>
      </c>
      <c r="C5" s="79">
        <f>6943364</f>
        <v/>
      </c>
    </row>
    <row r="6">
      <c r="B6" t="inlineStr">
        <is>
          <t>Total Monthly Payment</t>
        </is>
      </c>
      <c r="C6" s="79">
        <f>204089.02</f>
        <v/>
      </c>
    </row>
    <row r="8">
      <c r="A8" s="80" t="inlineStr">
        <is>
          <t>LOAN SUMMARY TABLE</t>
        </is>
      </c>
      <c r="B8" s="81" t="n"/>
      <c r="C8" s="81" t="n"/>
      <c r="D8" s="81" t="n"/>
      <c r="E8" s="81" t="n"/>
      <c r="F8" s="81" t="n"/>
      <c r="G8" s="81" t="n"/>
    </row>
    <row r="9">
      <c r="A9" s="23" t="inlineStr">
        <is>
          <t>#</t>
        </is>
      </c>
      <c r="B9" s="23" t="inlineStr">
        <is>
          <t>Description</t>
        </is>
      </c>
      <c r="C9" s="23" t="inlineStr">
        <is>
          <t>Remaining Balance</t>
        </is>
      </c>
      <c r="D9" s="23" t="inlineStr">
        <is>
          <t>Monthly Payment</t>
        </is>
      </c>
      <c r="E9" s="23" t="inlineStr">
        <is>
          <t>Rate</t>
        </is>
      </c>
      <c r="F9" s="23" t="inlineStr">
        <is>
          <t>Maturity</t>
        </is>
      </c>
    </row>
    <row r="10">
      <c r="A10" s="34" t="n">
        <v>1</v>
      </c>
      <c r="B10" s="34" t="inlineStr">
        <is>
          <t>15 Kenworth T-680 Sleepers (Dec 2020)</t>
        </is>
      </c>
      <c r="C10" s="11">
        <f>15594</f>
        <v/>
      </c>
      <c r="D10" s="11">
        <f>1861.62</f>
        <v/>
      </c>
      <c r="E10" s="82">
        <f>0.0297</f>
        <v/>
      </c>
      <c r="F10" s="13" t="n">
        <v>46300</v>
      </c>
    </row>
    <row r="11">
      <c r="A11" s="34" t="n">
        <v>2</v>
      </c>
      <c r="B11" s="34" t="inlineStr">
        <is>
          <t>Kenworth T880 Wrecker (Jan 2020)</t>
        </is>
      </c>
      <c r="C11" s="11">
        <f>56095</f>
        <v/>
      </c>
      <c r="D11" s="11">
        <f>5238.02</f>
        <v/>
      </c>
      <c r="E11" s="82">
        <f>0.0297</f>
        <v/>
      </c>
      <c r="F11" s="13" t="n">
        <v>46323</v>
      </c>
    </row>
    <row r="12">
      <c r="A12" s="34" t="n">
        <v>3</v>
      </c>
      <c r="B12" s="34" t="inlineStr">
        <is>
          <t>4 T880 Day Cabs (July 2021)</t>
        </is>
      </c>
      <c r="C12" s="11">
        <f>77794</f>
        <v/>
      </c>
      <c r="D12" s="11">
        <f>4454.19</f>
        <v/>
      </c>
      <c r="E12" s="82">
        <f>0.0275</f>
        <v/>
      </c>
      <c r="F12" s="13" t="n">
        <v>46423</v>
      </c>
    </row>
    <row r="13">
      <c r="A13" s="34" t="n">
        <v>4</v>
      </c>
      <c r="B13" s="34" t="inlineStr">
        <is>
          <t>1 T880 &amp; 1 T680 (Aug 2021)</t>
        </is>
      </c>
      <c r="C13" s="11">
        <f>84334</f>
        <v/>
      </c>
      <c r="D13" s="11">
        <f>4576.96</f>
        <v/>
      </c>
      <c r="E13" s="82">
        <f>0.0276</f>
        <v/>
      </c>
      <c r="F13" s="13" t="n">
        <v>46539</v>
      </c>
    </row>
    <row r="14">
      <c r="A14" s="34" t="n">
        <v>5</v>
      </c>
      <c r="B14" s="34" t="inlineStr">
        <is>
          <t>1 T680 (Sept 2021)</t>
        </is>
      </c>
      <c r="C14" s="11">
        <f>44967</f>
        <v/>
      </c>
      <c r="D14" s="11">
        <f>2362.52</f>
        <v/>
      </c>
      <c r="E14" s="82">
        <f>0.0283</f>
        <v/>
      </c>
      <c r="F14" s="13" t="n">
        <v>46580</v>
      </c>
    </row>
    <row r="15">
      <c r="A15" s="34" t="n">
        <v>6</v>
      </c>
      <c r="B15" s="34" t="inlineStr">
        <is>
          <t>3 T680 (Oct 2021)</t>
        </is>
      </c>
      <c r="C15" s="11">
        <f>137705</f>
        <v/>
      </c>
      <c r="D15" s="11">
        <f>7087.77</f>
        <v/>
      </c>
      <c r="E15" s="82">
        <f>0.0279</f>
        <v/>
      </c>
      <c r="F15" s="13" t="n">
        <v>46589</v>
      </c>
    </row>
    <row r="16">
      <c r="A16" s="34" t="n">
        <v>7</v>
      </c>
      <c r="B16" s="34" t="inlineStr">
        <is>
          <t>1 T680 (Oct 2021)</t>
        </is>
      </c>
      <c r="C16" s="11">
        <f>47688</f>
        <v/>
      </c>
      <c r="D16" s="11">
        <f>2361.89</f>
        <v/>
      </c>
      <c r="E16" s="82">
        <f>0.0279</f>
        <v/>
      </c>
      <c r="F16" s="13" t="n">
        <v>46602</v>
      </c>
    </row>
    <row r="17">
      <c r="A17" s="34" t="n">
        <v>8</v>
      </c>
      <c r="B17" s="34" t="inlineStr">
        <is>
          <t>1 T680 (Nov 2021)</t>
        </is>
      </c>
      <c r="C17" s="11">
        <f>49916</f>
        <v/>
      </c>
      <c r="D17" s="11">
        <f>2361.14</f>
        <v/>
      </c>
      <c r="E17" s="82">
        <f>0.0279</f>
        <v/>
      </c>
      <c r="F17" s="13" t="n">
        <v>46633</v>
      </c>
    </row>
    <row r="18">
      <c r="A18" s="34" t="n">
        <v>9</v>
      </c>
      <c r="B18" s="34" t="inlineStr">
        <is>
          <t>2 T680 (Dec 2021)</t>
        </is>
      </c>
      <c r="C18" s="11">
        <f>100052</f>
        <v/>
      </c>
      <c r="D18" s="11">
        <f>4701.06</f>
        <v/>
      </c>
      <c r="E18" s="82">
        <f>0.0279</f>
        <v/>
      </c>
      <c r="F18" s="13" t="n">
        <v>46651</v>
      </c>
    </row>
    <row r="19">
      <c r="A19" s="34" t="n">
        <v>10</v>
      </c>
      <c r="B19" s="34" t="inlineStr">
        <is>
          <t>1 T680 (Dec 2021)</t>
        </is>
      </c>
      <c r="C19" s="11">
        <f>52646</f>
        <v/>
      </c>
      <c r="D19" s="11">
        <f>2383.09</f>
        <v/>
      </c>
      <c r="E19" s="82">
        <f>0.0279</f>
        <v/>
      </c>
      <c r="F19" s="13" t="n">
        <v>46670</v>
      </c>
    </row>
    <row r="20">
      <c r="A20" s="34" t="n">
        <v>11</v>
      </c>
      <c r="B20" s="34" t="inlineStr">
        <is>
          <t>5 T680 (Sept 2022)</t>
        </is>
      </c>
      <c r="C20" s="11">
        <f>413982</f>
        <v/>
      </c>
      <c r="D20" s="11">
        <f>14084.55</f>
        <v/>
      </c>
      <c r="E20" s="82">
        <f>0.0494</f>
        <v/>
      </c>
      <c r="F20" s="13" t="n">
        <v>46941</v>
      </c>
    </row>
    <row r="21">
      <c r="A21" s="34" t="n">
        <v>12</v>
      </c>
      <c r="B21" s="34" t="inlineStr">
        <is>
          <t>3 T680 (Oct 2022)</t>
        </is>
      </c>
      <c r="C21" s="11">
        <f>257221</f>
        <v/>
      </c>
      <c r="D21" s="11">
        <f>8510.59</f>
        <v/>
      </c>
      <c r="E21" s="82">
        <f>0.0494</f>
        <v/>
      </c>
      <c r="F21" s="13" t="n">
        <v>46966</v>
      </c>
    </row>
    <row r="22">
      <c r="A22" s="34" t="n">
        <v>13</v>
      </c>
      <c r="B22" s="34" t="inlineStr">
        <is>
          <t>2 T680 (Oct 2022)</t>
        </is>
      </c>
      <c r="C22" s="11">
        <f>173587</f>
        <v/>
      </c>
      <c r="D22" s="11">
        <f>5657.19</f>
        <v/>
      </c>
      <c r="E22" s="82">
        <f>0.0494</f>
        <v/>
      </c>
      <c r="F22" s="13" t="n">
        <v>46975</v>
      </c>
    </row>
    <row r="23">
      <c r="A23" s="34" t="n">
        <v>14</v>
      </c>
      <c r="B23" s="34" t="inlineStr">
        <is>
          <t>2 T680 (Nov 2022)</t>
        </is>
      </c>
      <c r="C23" s="11">
        <f>174684</f>
        <v/>
      </c>
      <c r="D23" s="11">
        <f>5632.49</f>
        <v/>
      </c>
      <c r="E23" s="82">
        <f>0.0494</f>
        <v/>
      </c>
      <c r="F23" s="13" t="n">
        <v>47002</v>
      </c>
    </row>
    <row r="24">
      <c r="A24" s="34" t="n">
        <v>15</v>
      </c>
      <c r="B24" s="34" t="inlineStr">
        <is>
          <t>3 T680 (Dec 2022)</t>
        </is>
      </c>
      <c r="C24" s="11">
        <f>266766</f>
        <v/>
      </c>
      <c r="D24" s="11">
        <f>8443.54</f>
        <v/>
      </c>
      <c r="E24" s="82">
        <f>0.0494</f>
        <v/>
      </c>
      <c r="F24" s="13" t="n">
        <v>47017</v>
      </c>
    </row>
    <row r="25">
      <c r="A25" s="34" t="n">
        <v>16</v>
      </c>
      <c r="B25" s="34" t="inlineStr">
        <is>
          <t>3 T680 (Dec 2022)</t>
        </is>
      </c>
      <c r="C25" s="11">
        <f>266415</f>
        <v/>
      </c>
      <c r="D25" s="11">
        <f>8443.54</f>
        <v/>
      </c>
      <c r="E25" s="82">
        <f>0.0494</f>
        <v/>
      </c>
      <c r="F25" s="13" t="n">
        <v>47026</v>
      </c>
    </row>
    <row r="26">
      <c r="A26" s="34" t="n">
        <v>17</v>
      </c>
      <c r="B26" s="34" t="inlineStr">
        <is>
          <t>7 T680 (May 2023)</t>
        </is>
      </c>
      <c r="C26" s="11">
        <f>825343</f>
        <v/>
      </c>
      <c r="D26" s="11">
        <f>22964.37</f>
        <v/>
      </c>
      <c r="E26" s="82">
        <f>0.0636</f>
        <v/>
      </c>
      <c r="F26" s="13" t="n">
        <v>46820</v>
      </c>
    </row>
    <row r="27">
      <c r="A27" s="34" t="n">
        <v>18</v>
      </c>
      <c r="B27" s="34" t="inlineStr">
        <is>
          <t>2 T680 (June 2023)</t>
        </is>
      </c>
      <c r="C27" s="11">
        <f>231728</f>
        <v/>
      </c>
      <c r="D27" s="11">
        <f>6610.54</f>
        <v/>
      </c>
      <c r="E27" s="82">
        <f>0.065</f>
        <v/>
      </c>
      <c r="F27" s="13" t="n">
        <v>45374</v>
      </c>
    </row>
    <row r="28">
      <c r="A28" s="34" t="n">
        <v>19</v>
      </c>
      <c r="B28" s="34" t="inlineStr">
        <is>
          <t>7 T680 (Jan 2024)</t>
        </is>
      </c>
      <c r="C28" s="11">
        <f>1008670</f>
        <v/>
      </c>
      <c r="D28" s="11">
        <f>23966.36</f>
        <v/>
      </c>
      <c r="E28" s="82">
        <f>0.0658</f>
        <v/>
      </c>
      <c r="F28" s="13" t="n">
        <v>47433</v>
      </c>
    </row>
    <row r="29">
      <c r="A29" s="34" t="n">
        <v>20</v>
      </c>
      <c r="B29" s="34" t="inlineStr">
        <is>
          <t>5 Peterbilt 579 (Jan 2024)</t>
        </is>
      </c>
      <c r="C29" s="11">
        <f>735312</f>
        <v/>
      </c>
      <c r="D29" s="11">
        <f>17475.84</f>
        <v/>
      </c>
      <c r="E29" s="82">
        <f>0.0658</f>
        <v/>
      </c>
      <c r="F29" s="13" t="n">
        <v>47438</v>
      </c>
    </row>
    <row r="30">
      <c r="A30" s="34" t="n">
        <v>21</v>
      </c>
      <c r="B30" s="34" t="inlineStr">
        <is>
          <t>8 T680 (Feb 2024)</t>
        </is>
      </c>
      <c r="C30" s="11">
        <f>1173997</f>
        <v/>
      </c>
      <c r="D30" s="11">
        <f>27417.44</f>
        <v/>
      </c>
      <c r="E30" s="82">
        <f>0.0662</f>
        <v/>
      </c>
      <c r="F30" s="13" t="n">
        <v>47459</v>
      </c>
    </row>
    <row r="31">
      <c r="A31" s="34" t="n">
        <v>22</v>
      </c>
      <c r="B31" s="34" t="inlineStr">
        <is>
          <t>5 Peterbilt 579 (Feb 2024)</t>
        </is>
      </c>
      <c r="C31" s="11">
        <f>748868</f>
        <v/>
      </c>
      <c r="D31" s="11">
        <f>17494.31</f>
        <v/>
      </c>
      <c r="E31" s="82">
        <f>0.0662</f>
        <v/>
      </c>
      <c r="F31" s="13" t="n">
        <v>47465</v>
      </c>
    </row>
    <row r="32">
      <c r="A32" s="34" t="n"/>
      <c r="B32" s="41" t="inlineStr">
        <is>
          <t>TOTAL</t>
        </is>
      </c>
      <c r="C32" s="42">
        <f>SUM(C10:C31)</f>
        <v/>
      </c>
      <c r="D32" s="42">
        <f>SUM(D10:D31)</f>
        <v/>
      </c>
      <c r="E32" s="34" t="n"/>
      <c r="F32" s="34" t="n"/>
    </row>
    <row r="35">
      <c r="A35" s="83" t="inlineStr">
        <is>
          <t>INDIVIDUAL LOAN AMORTIZATION SCHEDULES</t>
        </is>
      </c>
      <c r="B35" s="81" t="n"/>
      <c r="C35" s="81" t="n"/>
      <c r="D35" s="81" t="n"/>
      <c r="E35" s="81" t="n"/>
      <c r="F35" s="81" t="n"/>
      <c r="G35" s="81" t="n"/>
    </row>
    <row r="37">
      <c r="A37" s="80" t="inlineStr">
        <is>
          <t>LOAN 1: 15 Kenworth T-680 Sleepers (Dec 2020)</t>
        </is>
      </c>
      <c r="B37" s="81" t="n"/>
      <c r="C37" s="81" t="n"/>
      <c r="D37" s="81" t="n"/>
      <c r="E37" s="81" t="n"/>
      <c r="F37" s="81" t="n"/>
      <c r="G37" s="81" t="n"/>
    </row>
    <row r="38">
      <c r="B38" t="inlineStr">
        <is>
          <t>Loan ID</t>
        </is>
      </c>
      <c r="C38" s="2" t="inlineStr">
        <is>
          <t>05-2956-000-000-00</t>
        </is>
      </c>
    </row>
    <row r="39">
      <c r="B39" t="inlineStr">
        <is>
          <t>Account</t>
        </is>
      </c>
      <c r="C39" s="2" t="inlineStr">
        <is>
          <t>7185689</t>
        </is>
      </c>
    </row>
    <row r="40">
      <c r="B40" t="inlineStr">
        <is>
          <t>Origination Date</t>
        </is>
      </c>
      <c r="C40" s="16" t="n">
        <v>44187</v>
      </c>
    </row>
    <row r="41">
      <c r="B41" t="inlineStr">
        <is>
          <t>Maturity Date</t>
        </is>
      </c>
      <c r="C41" s="16" t="n">
        <v>46300</v>
      </c>
    </row>
    <row r="42">
      <c r="B42" t="inlineStr">
        <is>
          <t>Original Balance</t>
        </is>
      </c>
      <c r="C42" s="3" t="n">
        <v>2090725</v>
      </c>
    </row>
    <row r="43">
      <c r="B43" t="inlineStr">
        <is>
          <t>Remaining Balance (Nov 30, 2025)</t>
        </is>
      </c>
      <c r="C43" s="3" t="n">
        <v>15594</v>
      </c>
    </row>
    <row r="44">
      <c r="B44" t="inlineStr">
        <is>
          <t>Monthly Payment</t>
        </is>
      </c>
      <c r="C44" s="3" t="n">
        <v>1861.62</v>
      </c>
    </row>
    <row r="45">
      <c r="B45" t="inlineStr">
        <is>
          <t>Annual Interest Rate</t>
        </is>
      </c>
      <c r="C45" s="4" t="n">
        <v>0.0297</v>
      </c>
    </row>
    <row r="46">
      <c r="B46" s="6" t="inlineStr">
        <is>
          <t>Loan Type</t>
        </is>
      </c>
      <c r="C46" s="6" t="inlineStr">
        <is>
          <t>AMORTIZING</t>
        </is>
      </c>
    </row>
    <row r="47">
      <c r="B47" s="6" t="inlineStr">
        <is>
          <t>Use</t>
        </is>
      </c>
      <c r="C47" s="6" t="inlineStr">
        <is>
          <t>Equipment (Semi trucks)</t>
        </is>
      </c>
    </row>
    <row r="49">
      <c r="A49" s="23" t="inlineStr">
        <is>
          <t>Month #</t>
        </is>
      </c>
      <c r="B49" s="23" t="inlineStr">
        <is>
          <t>Date</t>
        </is>
      </c>
      <c r="C49" s="23" t="inlineStr">
        <is>
          <t>Opening Balance</t>
        </is>
      </c>
      <c r="D49" s="23" t="inlineStr">
        <is>
          <t>Interest</t>
        </is>
      </c>
      <c r="E49" s="23" t="inlineStr">
        <is>
          <t>Principal</t>
        </is>
      </c>
      <c r="F49" s="23" t="inlineStr">
        <is>
          <t>Closing Balance</t>
        </is>
      </c>
    </row>
    <row r="50">
      <c r="A50" s="34" t="n">
        <v>1</v>
      </c>
      <c r="B50" s="13" t="n">
        <v>46021</v>
      </c>
      <c r="C50" s="11">
        <f>$C$43</f>
        <v/>
      </c>
      <c r="D50" s="11">
        <f>MAX(0,C50*$C$45/12)</f>
        <v/>
      </c>
      <c r="E50" s="11">
        <f>MAX(0,MIN(C50,$C$44-D50))</f>
        <v/>
      </c>
      <c r="F50" s="11">
        <f>MAX(0,C50-E50)</f>
        <v/>
      </c>
    </row>
    <row r="51">
      <c r="A51" s="34" t="n">
        <v>2</v>
      </c>
      <c r="B51" s="13" t="n">
        <v>46052</v>
      </c>
      <c r="C51" s="11">
        <f>F50</f>
        <v/>
      </c>
      <c r="D51" s="11">
        <f>MAX(0,C51*$C$45/12)</f>
        <v/>
      </c>
      <c r="E51" s="11">
        <f>MAX(0,MIN(C51,$C$44-D51))</f>
        <v/>
      </c>
      <c r="F51" s="11">
        <f>MAX(0,C51-E51)</f>
        <v/>
      </c>
    </row>
    <row r="52">
      <c r="A52" s="34" t="n">
        <v>3</v>
      </c>
      <c r="B52" s="13" t="n">
        <v>46081</v>
      </c>
      <c r="C52" s="11">
        <f>F51</f>
        <v/>
      </c>
      <c r="D52" s="11">
        <f>MAX(0,C52*$C$45/12)</f>
        <v/>
      </c>
      <c r="E52" s="11">
        <f>MAX(0,MIN(C52,$C$44-D52))</f>
        <v/>
      </c>
      <c r="F52" s="11">
        <f>MAX(0,C52-E52)</f>
        <v/>
      </c>
    </row>
    <row r="53">
      <c r="A53" s="34" t="n">
        <v>4</v>
      </c>
      <c r="B53" s="13" t="n">
        <v>46111</v>
      </c>
      <c r="C53" s="11">
        <f>F52</f>
        <v/>
      </c>
      <c r="D53" s="11">
        <f>MAX(0,C53*$C$45/12)</f>
        <v/>
      </c>
      <c r="E53" s="11">
        <f>MAX(0,MIN(C53,$C$44-D53))</f>
        <v/>
      </c>
      <c r="F53" s="11">
        <f>MAX(0,C53-E53)</f>
        <v/>
      </c>
    </row>
    <row r="54">
      <c r="A54" s="34" t="n">
        <v>5</v>
      </c>
      <c r="B54" s="13" t="n">
        <v>46142</v>
      </c>
      <c r="C54" s="11">
        <f>F53</f>
        <v/>
      </c>
      <c r="D54" s="11">
        <f>MAX(0,C54*$C$45/12)</f>
        <v/>
      </c>
      <c r="E54" s="11">
        <f>MAX(0,MIN(C54,$C$44-D54))</f>
        <v/>
      </c>
      <c r="F54" s="11">
        <f>MAX(0,C54-E54)</f>
        <v/>
      </c>
    </row>
    <row r="55">
      <c r="A55" s="34" t="n">
        <v>6</v>
      </c>
      <c r="B55" s="13" t="n">
        <v>46172</v>
      </c>
      <c r="C55" s="11">
        <f>F54</f>
        <v/>
      </c>
      <c r="D55" s="11">
        <f>MAX(0,C55*$C$45/12)</f>
        <v/>
      </c>
      <c r="E55" s="11">
        <f>MAX(0,MIN(C55,$C$44-D55))</f>
        <v/>
      </c>
      <c r="F55" s="11">
        <f>MAX(0,C55-E55)</f>
        <v/>
      </c>
    </row>
    <row r="56">
      <c r="A56" s="34" t="n">
        <v>7</v>
      </c>
      <c r="B56" s="13" t="n">
        <v>46203</v>
      </c>
      <c r="C56" s="11">
        <f>F55</f>
        <v/>
      </c>
      <c r="D56" s="11">
        <f>MAX(0,C56*$C$45/12)</f>
        <v/>
      </c>
      <c r="E56" s="11">
        <f>MAX(0,MIN(C56,$C$44-D56))</f>
        <v/>
      </c>
      <c r="F56" s="11">
        <f>MAX(0,C56-E56)</f>
        <v/>
      </c>
    </row>
    <row r="57">
      <c r="A57" s="34" t="n">
        <v>8</v>
      </c>
      <c r="B57" s="13" t="n">
        <v>46233</v>
      </c>
      <c r="C57" s="11">
        <f>F56</f>
        <v/>
      </c>
      <c r="D57" s="11">
        <f>MAX(0,C57*$C$45/12)</f>
        <v/>
      </c>
      <c r="E57" s="11">
        <f>MAX(0,MIN(C57,$C$44-D57))</f>
        <v/>
      </c>
      <c r="F57" s="11">
        <f>MAX(0,C57-E57)</f>
        <v/>
      </c>
    </row>
    <row r="58">
      <c r="A58" s="34" t="n">
        <v>9</v>
      </c>
      <c r="B58" s="13" t="n">
        <v>46264</v>
      </c>
      <c r="C58" s="11">
        <f>F57</f>
        <v/>
      </c>
      <c r="D58" s="11">
        <f>MAX(0,C58*$C$45/12)</f>
        <v/>
      </c>
      <c r="E58" s="11">
        <f>MAX(0,MIN(C58,$C$44-D58))</f>
        <v/>
      </c>
      <c r="F58" s="11">
        <f>MAX(0,C58-E58)</f>
        <v/>
      </c>
    </row>
    <row r="59">
      <c r="A59" s="34" t="n">
        <v>10</v>
      </c>
      <c r="B59" s="13" t="n">
        <v>46295</v>
      </c>
      <c r="C59" s="11">
        <f>F58</f>
        <v/>
      </c>
      <c r="D59" s="11">
        <f>MAX(0,C59*$C$45/12)</f>
        <v/>
      </c>
      <c r="E59" s="11">
        <f>MAX(0,MIN(C59,$C$44-D59))</f>
        <v/>
      </c>
      <c r="F59" s="11">
        <f>MAX(0,C59-E59)</f>
        <v/>
      </c>
    </row>
    <row r="60">
      <c r="A60" s="34" t="n">
        <v>11</v>
      </c>
      <c r="B60" s="13" t="n">
        <v>46325</v>
      </c>
      <c r="C60" s="11">
        <f>F59</f>
        <v/>
      </c>
      <c r="D60" s="11">
        <f>MAX(0,C60*$C$45/12)</f>
        <v/>
      </c>
      <c r="E60" s="11">
        <f>MAX(0,MIN(C60,$C$44-D60))</f>
        <v/>
      </c>
      <c r="F60" s="11">
        <f>MAX(0,C60-E60)</f>
        <v/>
      </c>
    </row>
    <row r="61">
      <c r="A61" s="34" t="n"/>
      <c r="B61" s="41" t="inlineStr">
        <is>
          <t>TOTAL</t>
        </is>
      </c>
      <c r="C61" s="34" t="n"/>
      <c r="D61" s="42">
        <f>SUM(D50:D60)</f>
        <v/>
      </c>
      <c r="E61" s="42">
        <f>SUM(E50:E60)</f>
        <v/>
      </c>
      <c r="F61" s="34" t="n"/>
    </row>
    <row r="63">
      <c r="A63" s="80" t="inlineStr">
        <is>
          <t>LOAN 2: Kenworth T880 Wrecker (Jan 2020)</t>
        </is>
      </c>
      <c r="B63" s="81" t="n"/>
      <c r="C63" s="81" t="n"/>
      <c r="D63" s="81" t="n"/>
      <c r="E63" s="81" t="n"/>
      <c r="F63" s="81" t="n"/>
      <c r="G63" s="81" t="n"/>
    </row>
    <row r="64">
      <c r="B64" t="inlineStr">
        <is>
          <t>Loan ID</t>
        </is>
      </c>
      <c r="C64" s="2" t="inlineStr">
        <is>
          <t>05-2957-000-000-00</t>
        </is>
      </c>
    </row>
    <row r="65">
      <c r="B65" t="inlineStr">
        <is>
          <t>Account</t>
        </is>
      </c>
      <c r="C65" s="2" t="inlineStr">
        <is>
          <t>7194228</t>
        </is>
      </c>
    </row>
    <row r="66">
      <c r="B66" t="inlineStr">
        <is>
          <t>Origination Date</t>
        </is>
      </c>
      <c r="C66" s="16" t="n">
        <v>43844</v>
      </c>
    </row>
    <row r="67">
      <c r="B67" t="inlineStr">
        <is>
          <t>Maturity Date</t>
        </is>
      </c>
      <c r="C67" s="16" t="n">
        <v>46323</v>
      </c>
    </row>
    <row r="68">
      <c r="B68" t="inlineStr">
        <is>
          <t>Original Balance</t>
        </is>
      </c>
      <c r="C68" s="3" t="n">
        <v>314075</v>
      </c>
    </row>
    <row r="69">
      <c r="B69" t="inlineStr">
        <is>
          <t>Remaining Balance (Nov 30, 2025)</t>
        </is>
      </c>
      <c r="C69" s="3" t="n">
        <v>56095</v>
      </c>
    </row>
    <row r="70">
      <c r="B70" t="inlineStr">
        <is>
          <t>Monthly Payment</t>
        </is>
      </c>
      <c r="C70" s="3" t="n">
        <v>5238.02</v>
      </c>
    </row>
    <row r="71">
      <c r="B71" t="inlineStr">
        <is>
          <t>Annual Interest Rate</t>
        </is>
      </c>
      <c r="C71" s="4" t="n">
        <v>0.0297</v>
      </c>
    </row>
    <row r="72">
      <c r="B72" s="6" t="inlineStr">
        <is>
          <t>Loan Type</t>
        </is>
      </c>
      <c r="C72" s="6" t="inlineStr">
        <is>
          <t>AMORTIZING</t>
        </is>
      </c>
    </row>
    <row r="73">
      <c r="B73" s="6" t="inlineStr">
        <is>
          <t>Use</t>
        </is>
      </c>
      <c r="C73" s="6" t="inlineStr">
        <is>
          <t>Equipment (Semi trucks)</t>
        </is>
      </c>
    </row>
    <row r="75">
      <c r="A75" s="23" t="inlineStr">
        <is>
          <t>Month #</t>
        </is>
      </c>
      <c r="B75" s="23" t="inlineStr">
        <is>
          <t>Date</t>
        </is>
      </c>
      <c r="C75" s="23" t="inlineStr">
        <is>
          <t>Opening Balance</t>
        </is>
      </c>
      <c r="D75" s="23" t="inlineStr">
        <is>
          <t>Interest</t>
        </is>
      </c>
      <c r="E75" s="23" t="inlineStr">
        <is>
          <t>Principal</t>
        </is>
      </c>
      <c r="F75" s="23" t="inlineStr">
        <is>
          <t>Closing Balance</t>
        </is>
      </c>
    </row>
    <row r="76">
      <c r="A76" s="34" t="n">
        <v>1</v>
      </c>
      <c r="B76" s="13" t="n">
        <v>46021</v>
      </c>
      <c r="C76" s="11">
        <f>$C$69</f>
        <v/>
      </c>
      <c r="D76" s="11">
        <f>MAX(0,C76*$C$71/12)</f>
        <v/>
      </c>
      <c r="E76" s="11">
        <f>MAX(0,MIN(C76,$C$70-D76))</f>
        <v/>
      </c>
      <c r="F76" s="11">
        <f>MAX(0,C76-E76)</f>
        <v/>
      </c>
    </row>
    <row r="77">
      <c r="A77" s="34" t="n">
        <v>2</v>
      </c>
      <c r="B77" s="13" t="n">
        <v>46052</v>
      </c>
      <c r="C77" s="11">
        <f>F76</f>
        <v/>
      </c>
      <c r="D77" s="11">
        <f>MAX(0,C77*$C$71/12)</f>
        <v/>
      </c>
      <c r="E77" s="11">
        <f>MAX(0,MIN(C77,$C$70-D77))</f>
        <v/>
      </c>
      <c r="F77" s="11">
        <f>MAX(0,C77-E77)</f>
        <v/>
      </c>
    </row>
    <row r="78">
      <c r="A78" s="34" t="n">
        <v>3</v>
      </c>
      <c r="B78" s="13" t="n">
        <v>46081</v>
      </c>
      <c r="C78" s="11">
        <f>F77</f>
        <v/>
      </c>
      <c r="D78" s="11">
        <f>MAX(0,C78*$C$71/12)</f>
        <v/>
      </c>
      <c r="E78" s="11">
        <f>MAX(0,MIN(C78,$C$70-D78))</f>
        <v/>
      </c>
      <c r="F78" s="11">
        <f>MAX(0,C78-E78)</f>
        <v/>
      </c>
    </row>
    <row r="79">
      <c r="A79" s="34" t="n">
        <v>4</v>
      </c>
      <c r="B79" s="13" t="n">
        <v>46111</v>
      </c>
      <c r="C79" s="11">
        <f>F78</f>
        <v/>
      </c>
      <c r="D79" s="11">
        <f>MAX(0,C79*$C$71/12)</f>
        <v/>
      </c>
      <c r="E79" s="11">
        <f>MAX(0,MIN(C79,$C$70-D79))</f>
        <v/>
      </c>
      <c r="F79" s="11">
        <f>MAX(0,C79-E79)</f>
        <v/>
      </c>
    </row>
    <row r="80">
      <c r="A80" s="34" t="n">
        <v>5</v>
      </c>
      <c r="B80" s="13" t="n">
        <v>46142</v>
      </c>
      <c r="C80" s="11">
        <f>F79</f>
        <v/>
      </c>
      <c r="D80" s="11">
        <f>MAX(0,C80*$C$71/12)</f>
        <v/>
      </c>
      <c r="E80" s="11">
        <f>MAX(0,MIN(C80,$C$70-D80))</f>
        <v/>
      </c>
      <c r="F80" s="11">
        <f>MAX(0,C80-E80)</f>
        <v/>
      </c>
    </row>
    <row r="81">
      <c r="A81" s="34" t="n">
        <v>6</v>
      </c>
      <c r="B81" s="13" t="n">
        <v>46172</v>
      </c>
      <c r="C81" s="11">
        <f>F80</f>
        <v/>
      </c>
      <c r="D81" s="11">
        <f>MAX(0,C81*$C$71/12)</f>
        <v/>
      </c>
      <c r="E81" s="11">
        <f>MAX(0,MIN(C81,$C$70-D81))</f>
        <v/>
      </c>
      <c r="F81" s="11">
        <f>MAX(0,C81-E81)</f>
        <v/>
      </c>
    </row>
    <row r="82">
      <c r="A82" s="34" t="n">
        <v>7</v>
      </c>
      <c r="B82" s="13" t="n">
        <v>46203</v>
      </c>
      <c r="C82" s="11">
        <f>F81</f>
        <v/>
      </c>
      <c r="D82" s="11">
        <f>MAX(0,C82*$C$71/12)</f>
        <v/>
      </c>
      <c r="E82" s="11">
        <f>MAX(0,MIN(C82,$C$70-D82))</f>
        <v/>
      </c>
      <c r="F82" s="11">
        <f>MAX(0,C82-E82)</f>
        <v/>
      </c>
    </row>
    <row r="83">
      <c r="A83" s="34" t="n">
        <v>8</v>
      </c>
      <c r="B83" s="13" t="n">
        <v>46233</v>
      </c>
      <c r="C83" s="11">
        <f>F82</f>
        <v/>
      </c>
      <c r="D83" s="11">
        <f>MAX(0,C83*$C$71/12)</f>
        <v/>
      </c>
      <c r="E83" s="11">
        <f>MAX(0,MIN(C83,$C$70-D83))</f>
        <v/>
      </c>
      <c r="F83" s="11">
        <f>MAX(0,C83-E83)</f>
        <v/>
      </c>
    </row>
    <row r="84">
      <c r="A84" s="34" t="n">
        <v>9</v>
      </c>
      <c r="B84" s="13" t="n">
        <v>46264</v>
      </c>
      <c r="C84" s="11">
        <f>F83</f>
        <v/>
      </c>
      <c r="D84" s="11">
        <f>MAX(0,C84*$C$71/12)</f>
        <v/>
      </c>
      <c r="E84" s="11">
        <f>MAX(0,MIN(C84,$C$70-D84))</f>
        <v/>
      </c>
      <c r="F84" s="11">
        <f>MAX(0,C84-E84)</f>
        <v/>
      </c>
    </row>
    <row r="85">
      <c r="A85" s="34" t="n">
        <v>10</v>
      </c>
      <c r="B85" s="13" t="n">
        <v>46295</v>
      </c>
      <c r="C85" s="11">
        <f>F84</f>
        <v/>
      </c>
      <c r="D85" s="11">
        <f>MAX(0,C85*$C$71/12)</f>
        <v/>
      </c>
      <c r="E85" s="11">
        <f>MAX(0,MIN(C85,$C$70-D85))</f>
        <v/>
      </c>
      <c r="F85" s="11">
        <f>MAX(0,C85-E85)</f>
        <v/>
      </c>
    </row>
    <row r="86">
      <c r="A86" s="34" t="n">
        <v>11</v>
      </c>
      <c r="B86" s="13" t="n">
        <v>46325</v>
      </c>
      <c r="C86" s="11">
        <f>F85</f>
        <v/>
      </c>
      <c r="D86" s="11">
        <f>MAX(0,C86*$C$71/12)</f>
        <v/>
      </c>
      <c r="E86" s="11">
        <f>MAX(0,MIN(C86,$C$70-D86))</f>
        <v/>
      </c>
      <c r="F86" s="11">
        <f>MAX(0,C86-E86)</f>
        <v/>
      </c>
    </row>
    <row r="87">
      <c r="A87" s="34" t="n"/>
      <c r="B87" s="41" t="inlineStr">
        <is>
          <t>TOTAL</t>
        </is>
      </c>
      <c r="C87" s="34" t="n"/>
      <c r="D87" s="42">
        <f>SUM(D76:D86)</f>
        <v/>
      </c>
      <c r="E87" s="42">
        <f>SUM(E76:E86)</f>
        <v/>
      </c>
      <c r="F87" s="34" t="n"/>
    </row>
    <row r="89">
      <c r="A89" s="80" t="inlineStr">
        <is>
          <t>LOAN 3: 4 T880 Day Cabs (July 2021)</t>
        </is>
      </c>
      <c r="B89" s="81" t="n"/>
      <c r="C89" s="81" t="n"/>
      <c r="D89" s="81" t="n"/>
      <c r="E89" s="81" t="n"/>
      <c r="F89" s="81" t="n"/>
      <c r="G89" s="81" t="n"/>
    </row>
    <row r="90">
      <c r="B90" t="inlineStr">
        <is>
          <t>Loan ID</t>
        </is>
      </c>
      <c r="C90" s="2" t="inlineStr">
        <is>
          <t>05-2958-000-000-00</t>
        </is>
      </c>
    </row>
    <row r="91">
      <c r="B91" t="inlineStr">
        <is>
          <t>Account</t>
        </is>
      </c>
      <c r="C91" s="2" t="inlineStr">
        <is>
          <t>7263759</t>
        </is>
      </c>
    </row>
    <row r="92">
      <c r="B92" t="inlineStr">
        <is>
          <t>Origination Date</t>
        </is>
      </c>
      <c r="C92" s="16" t="n">
        <v>44399</v>
      </c>
    </row>
    <row r="93">
      <c r="B93" t="inlineStr">
        <is>
          <t>Maturity Date</t>
        </is>
      </c>
      <c r="C93" s="16" t="n">
        <v>46423</v>
      </c>
    </row>
    <row r="94">
      <c r="B94" t="inlineStr">
        <is>
          <t>Original Balance</t>
        </is>
      </c>
      <c r="C94" s="3" t="n">
        <v>537800</v>
      </c>
    </row>
    <row r="95">
      <c r="B95" t="inlineStr">
        <is>
          <t>Remaining Balance (Nov 30, 2025)</t>
        </is>
      </c>
      <c r="C95" s="3" t="n">
        <v>77794</v>
      </c>
    </row>
    <row r="96">
      <c r="B96" t="inlineStr">
        <is>
          <t>Monthly Payment</t>
        </is>
      </c>
      <c r="C96" s="3" t="n">
        <v>4454.19</v>
      </c>
    </row>
    <row r="97">
      <c r="B97" t="inlineStr">
        <is>
          <t>Annual Interest Rate</t>
        </is>
      </c>
      <c r="C97" s="4" t="n">
        <v>0.0275</v>
      </c>
    </row>
    <row r="98">
      <c r="B98" s="6" t="inlineStr">
        <is>
          <t>Loan Type</t>
        </is>
      </c>
      <c r="C98" s="6" t="inlineStr">
        <is>
          <t>AMORTIZING</t>
        </is>
      </c>
    </row>
    <row r="99">
      <c r="B99" s="6" t="inlineStr">
        <is>
          <t>Use</t>
        </is>
      </c>
      <c r="C99" s="6" t="inlineStr">
        <is>
          <t>Equipment (Semi trucks)</t>
        </is>
      </c>
    </row>
    <row r="101">
      <c r="A101" s="23" t="inlineStr">
        <is>
          <t>Month #</t>
        </is>
      </c>
      <c r="B101" s="23" t="inlineStr">
        <is>
          <t>Date</t>
        </is>
      </c>
      <c r="C101" s="23" t="inlineStr">
        <is>
          <t>Opening Balance</t>
        </is>
      </c>
      <c r="D101" s="23" t="inlineStr">
        <is>
          <t>Interest</t>
        </is>
      </c>
      <c r="E101" s="23" t="inlineStr">
        <is>
          <t>Principal</t>
        </is>
      </c>
      <c r="F101" s="23" t="inlineStr">
        <is>
          <t>Closing Balance</t>
        </is>
      </c>
    </row>
    <row r="102">
      <c r="A102" s="34" t="n">
        <v>1</v>
      </c>
      <c r="B102" s="13" t="n">
        <v>46021</v>
      </c>
      <c r="C102" s="11">
        <f>$C$95</f>
        <v/>
      </c>
      <c r="D102" s="11">
        <f>MAX(0,C102*$C$97/12)</f>
        <v/>
      </c>
      <c r="E102" s="11">
        <f>MAX(0,MIN(C102,$C$96-D102))</f>
        <v/>
      </c>
      <c r="F102" s="11">
        <f>MAX(0,C102-E102)</f>
        <v/>
      </c>
    </row>
    <row r="103">
      <c r="A103" s="34" t="n">
        <v>2</v>
      </c>
      <c r="B103" s="13" t="n">
        <v>46052</v>
      </c>
      <c r="C103" s="11">
        <f>F102</f>
        <v/>
      </c>
      <c r="D103" s="11">
        <f>MAX(0,C103*$C$97/12)</f>
        <v/>
      </c>
      <c r="E103" s="11">
        <f>MAX(0,MIN(C103,$C$96-D103))</f>
        <v/>
      </c>
      <c r="F103" s="11">
        <f>MAX(0,C103-E103)</f>
        <v/>
      </c>
    </row>
    <row r="104">
      <c r="A104" s="34" t="n">
        <v>3</v>
      </c>
      <c r="B104" s="13" t="n">
        <v>46081</v>
      </c>
      <c r="C104" s="11">
        <f>F103</f>
        <v/>
      </c>
      <c r="D104" s="11">
        <f>MAX(0,C104*$C$97/12)</f>
        <v/>
      </c>
      <c r="E104" s="11">
        <f>MAX(0,MIN(C104,$C$96-D104))</f>
        <v/>
      </c>
      <c r="F104" s="11">
        <f>MAX(0,C104-E104)</f>
        <v/>
      </c>
    </row>
    <row r="105">
      <c r="A105" s="34" t="n">
        <v>4</v>
      </c>
      <c r="B105" s="13" t="n">
        <v>46111</v>
      </c>
      <c r="C105" s="11">
        <f>F104</f>
        <v/>
      </c>
      <c r="D105" s="11">
        <f>MAX(0,C105*$C$97/12)</f>
        <v/>
      </c>
      <c r="E105" s="11">
        <f>MAX(0,MIN(C105,$C$96-D105))</f>
        <v/>
      </c>
      <c r="F105" s="11">
        <f>MAX(0,C105-E105)</f>
        <v/>
      </c>
    </row>
    <row r="106">
      <c r="A106" s="34" t="n">
        <v>5</v>
      </c>
      <c r="B106" s="13" t="n">
        <v>46142</v>
      </c>
      <c r="C106" s="11">
        <f>F105</f>
        <v/>
      </c>
      <c r="D106" s="11">
        <f>MAX(0,C106*$C$97/12)</f>
        <v/>
      </c>
      <c r="E106" s="11">
        <f>MAX(0,MIN(C106,$C$96-D106))</f>
        <v/>
      </c>
      <c r="F106" s="11">
        <f>MAX(0,C106-E106)</f>
        <v/>
      </c>
    </row>
    <row r="107">
      <c r="A107" s="34" t="n">
        <v>6</v>
      </c>
      <c r="B107" s="13" t="n">
        <v>46172</v>
      </c>
      <c r="C107" s="11">
        <f>F106</f>
        <v/>
      </c>
      <c r="D107" s="11">
        <f>MAX(0,C107*$C$97/12)</f>
        <v/>
      </c>
      <c r="E107" s="11">
        <f>MAX(0,MIN(C107,$C$96-D107))</f>
        <v/>
      </c>
      <c r="F107" s="11">
        <f>MAX(0,C107-E107)</f>
        <v/>
      </c>
    </row>
    <row r="108">
      <c r="A108" s="34" t="n">
        <v>7</v>
      </c>
      <c r="B108" s="13" t="n">
        <v>46203</v>
      </c>
      <c r="C108" s="11">
        <f>F107</f>
        <v/>
      </c>
      <c r="D108" s="11">
        <f>MAX(0,C108*$C$97/12)</f>
        <v/>
      </c>
      <c r="E108" s="11">
        <f>MAX(0,MIN(C108,$C$96-D108))</f>
        <v/>
      </c>
      <c r="F108" s="11">
        <f>MAX(0,C108-E108)</f>
        <v/>
      </c>
    </row>
    <row r="109">
      <c r="A109" s="34" t="n">
        <v>8</v>
      </c>
      <c r="B109" s="13" t="n">
        <v>46233</v>
      </c>
      <c r="C109" s="11">
        <f>F108</f>
        <v/>
      </c>
      <c r="D109" s="11">
        <f>MAX(0,C109*$C$97/12)</f>
        <v/>
      </c>
      <c r="E109" s="11">
        <f>MAX(0,MIN(C109,$C$96-D109))</f>
        <v/>
      </c>
      <c r="F109" s="11">
        <f>MAX(0,C109-E109)</f>
        <v/>
      </c>
    </row>
    <row r="110">
      <c r="A110" s="34" t="n">
        <v>9</v>
      </c>
      <c r="B110" s="13" t="n">
        <v>46264</v>
      </c>
      <c r="C110" s="11">
        <f>F109</f>
        <v/>
      </c>
      <c r="D110" s="11">
        <f>MAX(0,C110*$C$97/12)</f>
        <v/>
      </c>
      <c r="E110" s="11">
        <f>MAX(0,MIN(C110,$C$96-D110))</f>
        <v/>
      </c>
      <c r="F110" s="11">
        <f>MAX(0,C110-E110)</f>
        <v/>
      </c>
    </row>
    <row r="111">
      <c r="A111" s="34" t="n">
        <v>10</v>
      </c>
      <c r="B111" s="13" t="n">
        <v>46295</v>
      </c>
      <c r="C111" s="11">
        <f>F110</f>
        <v/>
      </c>
      <c r="D111" s="11">
        <f>MAX(0,C111*$C$97/12)</f>
        <v/>
      </c>
      <c r="E111" s="11">
        <f>MAX(0,MIN(C111,$C$96-D111))</f>
        <v/>
      </c>
      <c r="F111" s="11">
        <f>MAX(0,C111-E111)</f>
        <v/>
      </c>
    </row>
    <row r="112">
      <c r="A112" s="34" t="n">
        <v>11</v>
      </c>
      <c r="B112" s="13" t="n">
        <v>46325</v>
      </c>
      <c r="C112" s="11">
        <f>F111</f>
        <v/>
      </c>
      <c r="D112" s="11">
        <f>MAX(0,C112*$C$97/12)</f>
        <v/>
      </c>
      <c r="E112" s="11">
        <f>MAX(0,MIN(C112,$C$96-D112))</f>
        <v/>
      </c>
      <c r="F112" s="11">
        <f>MAX(0,C112-E112)</f>
        <v/>
      </c>
    </row>
    <row r="113">
      <c r="A113" s="34" t="n">
        <v>12</v>
      </c>
      <c r="B113" s="13" t="n">
        <v>46356</v>
      </c>
      <c r="C113" s="11">
        <f>F112</f>
        <v/>
      </c>
      <c r="D113" s="11">
        <f>MAX(0,C113*$C$97/12)</f>
        <v/>
      </c>
      <c r="E113" s="11">
        <f>MAX(0,MIN(C113,$C$96-D113))</f>
        <v/>
      </c>
      <c r="F113" s="11">
        <f>MAX(0,C113-E113)</f>
        <v/>
      </c>
    </row>
    <row r="114">
      <c r="A114" s="34" t="n">
        <v>13</v>
      </c>
      <c r="B114" s="13" t="n">
        <v>46386</v>
      </c>
      <c r="C114" s="11">
        <f>F113</f>
        <v/>
      </c>
      <c r="D114" s="11">
        <f>MAX(0,C114*$C$97/12)</f>
        <v/>
      </c>
      <c r="E114" s="11">
        <f>MAX(0,MIN(C114,$C$96-D114))</f>
        <v/>
      </c>
      <c r="F114" s="11">
        <f>MAX(0,C114-E114)</f>
        <v/>
      </c>
    </row>
    <row r="115">
      <c r="A115" s="34" t="n">
        <v>14</v>
      </c>
      <c r="B115" s="13" t="n">
        <v>46417</v>
      </c>
      <c r="C115" s="11">
        <f>F114</f>
        <v/>
      </c>
      <c r="D115" s="11">
        <f>MAX(0,C115*$C$97/12)</f>
        <v/>
      </c>
      <c r="E115" s="11">
        <f>MAX(0,MIN(C115,$C$96-D115))</f>
        <v/>
      </c>
      <c r="F115" s="11">
        <f>MAX(0,C115-E115)</f>
        <v/>
      </c>
    </row>
    <row r="116">
      <c r="A116" s="34" t="n">
        <v>15</v>
      </c>
      <c r="B116" s="13" t="n">
        <v>46446</v>
      </c>
      <c r="C116" s="11">
        <f>F115</f>
        <v/>
      </c>
      <c r="D116" s="11">
        <f>MAX(0,C116*$C$97/12)</f>
        <v/>
      </c>
      <c r="E116" s="11">
        <f>MAX(0,MIN(C116,$C$96-D116))</f>
        <v/>
      </c>
      <c r="F116" s="11">
        <f>MAX(0,C116-E116)</f>
        <v/>
      </c>
    </row>
    <row r="117">
      <c r="A117" s="34" t="n"/>
      <c r="B117" s="41" t="inlineStr">
        <is>
          <t>TOTAL</t>
        </is>
      </c>
      <c r="C117" s="34" t="n"/>
      <c r="D117" s="42">
        <f>SUM(D102:D116)</f>
        <v/>
      </c>
      <c r="E117" s="42">
        <f>SUM(E102:E116)</f>
        <v/>
      </c>
      <c r="F117" s="34" t="n"/>
    </row>
    <row r="119">
      <c r="A119" s="80" t="inlineStr">
        <is>
          <t>LOAN 4: 1 T880 &amp; 1 T680 (Aug 2021)</t>
        </is>
      </c>
      <c r="B119" s="81" t="n"/>
      <c r="C119" s="81" t="n"/>
      <c r="D119" s="81" t="n"/>
      <c r="E119" s="81" t="n"/>
      <c r="F119" s="81" t="n"/>
      <c r="G119" s="81" t="n"/>
    </row>
    <row r="120">
      <c r="B120" t="inlineStr">
        <is>
          <t>Loan ID</t>
        </is>
      </c>
      <c r="C120" s="2" t="inlineStr">
        <is>
          <t>05-2959-001-000-00</t>
        </is>
      </c>
    </row>
    <row r="121">
      <c r="B121" t="inlineStr">
        <is>
          <t>Account</t>
        </is>
      </c>
      <c r="C121" s="2" t="inlineStr">
        <is>
          <t>7273063</t>
        </is>
      </c>
    </row>
    <row r="122">
      <c r="B122" t="inlineStr">
        <is>
          <t>Origination Date</t>
        </is>
      </c>
      <c r="C122" s="16" t="n">
        <v>44425</v>
      </c>
    </row>
    <row r="123">
      <c r="B123" t="inlineStr">
        <is>
          <t>Maturity Date</t>
        </is>
      </c>
      <c r="C123" s="16" t="n">
        <v>46539</v>
      </c>
    </row>
    <row r="124">
      <c r="B124" t="inlineStr">
        <is>
          <t>Original Balance</t>
        </is>
      </c>
      <c r="C124" s="3" t="n">
        <v>276325</v>
      </c>
    </row>
    <row r="125">
      <c r="B125" t="inlineStr">
        <is>
          <t>Remaining Balance (Nov 30, 2025)</t>
        </is>
      </c>
      <c r="C125" s="3" t="n">
        <v>84334</v>
      </c>
    </row>
    <row r="126">
      <c r="B126" t="inlineStr">
        <is>
          <t>Monthly Payment</t>
        </is>
      </c>
      <c r="C126" s="3" t="n">
        <v>4576.96</v>
      </c>
    </row>
    <row r="127">
      <c r="B127" t="inlineStr">
        <is>
          <t>Annual Interest Rate</t>
        </is>
      </c>
      <c r="C127" s="4" t="n">
        <v>0.0276</v>
      </c>
    </row>
    <row r="128">
      <c r="B128" s="6" t="inlineStr">
        <is>
          <t>Loan Type</t>
        </is>
      </c>
      <c r="C128" s="6" t="inlineStr">
        <is>
          <t>AMORTIZING</t>
        </is>
      </c>
    </row>
    <row r="129">
      <c r="B129" s="6" t="inlineStr">
        <is>
          <t>Use</t>
        </is>
      </c>
      <c r="C129" s="6" t="inlineStr">
        <is>
          <t>Equipment (Semi trucks)</t>
        </is>
      </c>
    </row>
    <row r="131">
      <c r="A131" s="23" t="inlineStr">
        <is>
          <t>Month #</t>
        </is>
      </c>
      <c r="B131" s="23" t="inlineStr">
        <is>
          <t>Date</t>
        </is>
      </c>
      <c r="C131" s="23" t="inlineStr">
        <is>
          <t>Opening Balance</t>
        </is>
      </c>
      <c r="D131" s="23" t="inlineStr">
        <is>
          <t>Interest</t>
        </is>
      </c>
      <c r="E131" s="23" t="inlineStr">
        <is>
          <t>Principal</t>
        </is>
      </c>
      <c r="F131" s="23" t="inlineStr">
        <is>
          <t>Closing Balance</t>
        </is>
      </c>
    </row>
    <row r="132">
      <c r="A132" s="34" t="n">
        <v>1</v>
      </c>
      <c r="B132" s="13" t="n">
        <v>46021</v>
      </c>
      <c r="C132" s="11">
        <f>$C$125</f>
        <v/>
      </c>
      <c r="D132" s="11">
        <f>MAX(0,C132*$C$127/12)</f>
        <v/>
      </c>
      <c r="E132" s="11">
        <f>MAX(0,MIN(C132,$C$126-D132))</f>
        <v/>
      </c>
      <c r="F132" s="11">
        <f>MAX(0,C132-E132)</f>
        <v/>
      </c>
    </row>
    <row r="133">
      <c r="A133" s="34" t="n">
        <v>2</v>
      </c>
      <c r="B133" s="13" t="n">
        <v>46052</v>
      </c>
      <c r="C133" s="11">
        <f>F132</f>
        <v/>
      </c>
      <c r="D133" s="11">
        <f>MAX(0,C133*$C$127/12)</f>
        <v/>
      </c>
      <c r="E133" s="11">
        <f>MAX(0,MIN(C133,$C$126-D133))</f>
        <v/>
      </c>
      <c r="F133" s="11">
        <f>MAX(0,C133-E133)</f>
        <v/>
      </c>
    </row>
    <row r="134">
      <c r="A134" s="34" t="n">
        <v>3</v>
      </c>
      <c r="B134" s="13" t="n">
        <v>46081</v>
      </c>
      <c r="C134" s="11">
        <f>F133</f>
        <v/>
      </c>
      <c r="D134" s="11">
        <f>MAX(0,C134*$C$127/12)</f>
        <v/>
      </c>
      <c r="E134" s="11">
        <f>MAX(0,MIN(C134,$C$126-D134))</f>
        <v/>
      </c>
      <c r="F134" s="11">
        <f>MAX(0,C134-E134)</f>
        <v/>
      </c>
    </row>
    <row r="135">
      <c r="A135" s="34" t="n">
        <v>4</v>
      </c>
      <c r="B135" s="13" t="n">
        <v>46111</v>
      </c>
      <c r="C135" s="11">
        <f>F134</f>
        <v/>
      </c>
      <c r="D135" s="11">
        <f>MAX(0,C135*$C$127/12)</f>
        <v/>
      </c>
      <c r="E135" s="11">
        <f>MAX(0,MIN(C135,$C$126-D135))</f>
        <v/>
      </c>
      <c r="F135" s="11">
        <f>MAX(0,C135-E135)</f>
        <v/>
      </c>
    </row>
    <row r="136">
      <c r="A136" s="34" t="n">
        <v>5</v>
      </c>
      <c r="B136" s="13" t="n">
        <v>46142</v>
      </c>
      <c r="C136" s="11">
        <f>F135</f>
        <v/>
      </c>
      <c r="D136" s="11">
        <f>MAX(0,C136*$C$127/12)</f>
        <v/>
      </c>
      <c r="E136" s="11">
        <f>MAX(0,MIN(C136,$C$126-D136))</f>
        <v/>
      </c>
      <c r="F136" s="11">
        <f>MAX(0,C136-E136)</f>
        <v/>
      </c>
    </row>
    <row r="137">
      <c r="A137" s="34" t="n">
        <v>6</v>
      </c>
      <c r="B137" s="13" t="n">
        <v>46172</v>
      </c>
      <c r="C137" s="11">
        <f>F136</f>
        <v/>
      </c>
      <c r="D137" s="11">
        <f>MAX(0,C137*$C$127/12)</f>
        <v/>
      </c>
      <c r="E137" s="11">
        <f>MAX(0,MIN(C137,$C$126-D137))</f>
        <v/>
      </c>
      <c r="F137" s="11">
        <f>MAX(0,C137-E137)</f>
        <v/>
      </c>
    </row>
    <row r="138">
      <c r="A138" s="34" t="n">
        <v>7</v>
      </c>
      <c r="B138" s="13" t="n">
        <v>46203</v>
      </c>
      <c r="C138" s="11">
        <f>F137</f>
        <v/>
      </c>
      <c r="D138" s="11">
        <f>MAX(0,C138*$C$127/12)</f>
        <v/>
      </c>
      <c r="E138" s="11">
        <f>MAX(0,MIN(C138,$C$126-D138))</f>
        <v/>
      </c>
      <c r="F138" s="11">
        <f>MAX(0,C138-E138)</f>
        <v/>
      </c>
    </row>
    <row r="139">
      <c r="A139" s="34" t="n">
        <v>8</v>
      </c>
      <c r="B139" s="13" t="n">
        <v>46233</v>
      </c>
      <c r="C139" s="11">
        <f>F138</f>
        <v/>
      </c>
      <c r="D139" s="11">
        <f>MAX(0,C139*$C$127/12)</f>
        <v/>
      </c>
      <c r="E139" s="11">
        <f>MAX(0,MIN(C139,$C$126-D139))</f>
        <v/>
      </c>
      <c r="F139" s="11">
        <f>MAX(0,C139-E139)</f>
        <v/>
      </c>
    </row>
    <row r="140">
      <c r="A140" s="34" t="n">
        <v>9</v>
      </c>
      <c r="B140" s="13" t="n">
        <v>46264</v>
      </c>
      <c r="C140" s="11">
        <f>F139</f>
        <v/>
      </c>
      <c r="D140" s="11">
        <f>MAX(0,C140*$C$127/12)</f>
        <v/>
      </c>
      <c r="E140" s="11">
        <f>MAX(0,MIN(C140,$C$126-D140))</f>
        <v/>
      </c>
      <c r="F140" s="11">
        <f>MAX(0,C140-E140)</f>
        <v/>
      </c>
    </row>
    <row r="141">
      <c r="A141" s="34" t="n">
        <v>10</v>
      </c>
      <c r="B141" s="13" t="n">
        <v>46295</v>
      </c>
      <c r="C141" s="11">
        <f>F140</f>
        <v/>
      </c>
      <c r="D141" s="11">
        <f>MAX(0,C141*$C$127/12)</f>
        <v/>
      </c>
      <c r="E141" s="11">
        <f>MAX(0,MIN(C141,$C$126-D141))</f>
        <v/>
      </c>
      <c r="F141" s="11">
        <f>MAX(0,C141-E141)</f>
        <v/>
      </c>
    </row>
    <row r="142">
      <c r="A142" s="34" t="n">
        <v>11</v>
      </c>
      <c r="B142" s="13" t="n">
        <v>46325</v>
      </c>
      <c r="C142" s="11">
        <f>F141</f>
        <v/>
      </c>
      <c r="D142" s="11">
        <f>MAX(0,C142*$C$127/12)</f>
        <v/>
      </c>
      <c r="E142" s="11">
        <f>MAX(0,MIN(C142,$C$126-D142))</f>
        <v/>
      </c>
      <c r="F142" s="11">
        <f>MAX(0,C142-E142)</f>
        <v/>
      </c>
    </row>
    <row r="143">
      <c r="A143" s="34" t="n">
        <v>12</v>
      </c>
      <c r="B143" s="13" t="n">
        <v>46356</v>
      </c>
      <c r="C143" s="11">
        <f>F142</f>
        <v/>
      </c>
      <c r="D143" s="11">
        <f>MAX(0,C143*$C$127/12)</f>
        <v/>
      </c>
      <c r="E143" s="11">
        <f>MAX(0,MIN(C143,$C$126-D143))</f>
        <v/>
      </c>
      <c r="F143" s="11">
        <f>MAX(0,C143-E143)</f>
        <v/>
      </c>
    </row>
    <row r="144">
      <c r="A144" s="34" t="n">
        <v>13</v>
      </c>
      <c r="B144" s="13" t="n">
        <v>46386</v>
      </c>
      <c r="C144" s="11">
        <f>F143</f>
        <v/>
      </c>
      <c r="D144" s="11">
        <f>MAX(0,C144*$C$127/12)</f>
        <v/>
      </c>
      <c r="E144" s="11">
        <f>MAX(0,MIN(C144,$C$126-D144))</f>
        <v/>
      </c>
      <c r="F144" s="11">
        <f>MAX(0,C144-E144)</f>
        <v/>
      </c>
    </row>
    <row r="145">
      <c r="A145" s="34" t="n">
        <v>14</v>
      </c>
      <c r="B145" s="13" t="n">
        <v>46417</v>
      </c>
      <c r="C145" s="11">
        <f>F144</f>
        <v/>
      </c>
      <c r="D145" s="11">
        <f>MAX(0,C145*$C$127/12)</f>
        <v/>
      </c>
      <c r="E145" s="11">
        <f>MAX(0,MIN(C145,$C$126-D145))</f>
        <v/>
      </c>
      <c r="F145" s="11">
        <f>MAX(0,C145-E145)</f>
        <v/>
      </c>
    </row>
    <row r="146">
      <c r="A146" s="34" t="n">
        <v>15</v>
      </c>
      <c r="B146" s="13" t="n">
        <v>46446</v>
      </c>
      <c r="C146" s="11">
        <f>F145</f>
        <v/>
      </c>
      <c r="D146" s="11">
        <f>MAX(0,C146*$C$127/12)</f>
        <v/>
      </c>
      <c r="E146" s="11">
        <f>MAX(0,MIN(C146,$C$126-D146))</f>
        <v/>
      </c>
      <c r="F146" s="11">
        <f>MAX(0,C146-E146)</f>
        <v/>
      </c>
    </row>
    <row r="147">
      <c r="A147" s="34" t="n">
        <v>16</v>
      </c>
      <c r="B147" s="13" t="n">
        <v>46476</v>
      </c>
      <c r="C147" s="11">
        <f>F146</f>
        <v/>
      </c>
      <c r="D147" s="11">
        <f>MAX(0,C147*$C$127/12)</f>
        <v/>
      </c>
      <c r="E147" s="11">
        <f>MAX(0,MIN(C147,$C$126-D147))</f>
        <v/>
      </c>
      <c r="F147" s="11">
        <f>MAX(0,C147-E147)</f>
        <v/>
      </c>
    </row>
    <row r="148">
      <c r="A148" s="34" t="n">
        <v>17</v>
      </c>
      <c r="B148" s="13" t="n">
        <v>46507</v>
      </c>
      <c r="C148" s="11">
        <f>F147</f>
        <v/>
      </c>
      <c r="D148" s="11">
        <f>MAX(0,C148*$C$127/12)</f>
        <v/>
      </c>
      <c r="E148" s="11">
        <f>MAX(0,MIN(C148,$C$126-D148))</f>
        <v/>
      </c>
      <c r="F148" s="11">
        <f>MAX(0,C148-E148)</f>
        <v/>
      </c>
    </row>
    <row r="149">
      <c r="A149" s="34" t="n">
        <v>18</v>
      </c>
      <c r="B149" s="13" t="n">
        <v>46537</v>
      </c>
      <c r="C149" s="11">
        <f>F148</f>
        <v/>
      </c>
      <c r="D149" s="11">
        <f>MAX(0,C149*$C$127/12)</f>
        <v/>
      </c>
      <c r="E149" s="11">
        <f>MAX(0,MIN(C149,$C$126-D149))</f>
        <v/>
      </c>
      <c r="F149" s="11">
        <f>MAX(0,C149-E149)</f>
        <v/>
      </c>
    </row>
    <row r="150">
      <c r="A150" s="34" t="n">
        <v>19</v>
      </c>
      <c r="B150" s="13" t="n">
        <v>46568</v>
      </c>
      <c r="C150" s="11">
        <f>F149</f>
        <v/>
      </c>
      <c r="D150" s="11">
        <f>MAX(0,C150*$C$127/12)</f>
        <v/>
      </c>
      <c r="E150" s="11">
        <f>MAX(0,MIN(C150,$C$126-D150))</f>
        <v/>
      </c>
      <c r="F150" s="11">
        <f>MAX(0,C150-E150)</f>
        <v/>
      </c>
    </row>
    <row r="151">
      <c r="A151" s="34" t="n"/>
      <c r="B151" s="41" t="inlineStr">
        <is>
          <t>TOTAL</t>
        </is>
      </c>
      <c r="C151" s="34" t="n"/>
      <c r="D151" s="42">
        <f>SUM(D132:D150)</f>
        <v/>
      </c>
      <c r="E151" s="42">
        <f>SUM(E132:E150)</f>
        <v/>
      </c>
      <c r="F151" s="34" t="n"/>
    </row>
    <row r="153">
      <c r="A153" s="80" t="inlineStr">
        <is>
          <t>LOAN 5: 1 T680 (Sept 2021)</t>
        </is>
      </c>
      <c r="B153" s="81" t="n"/>
      <c r="C153" s="81" t="n"/>
      <c r="D153" s="81" t="n"/>
      <c r="E153" s="81" t="n"/>
      <c r="F153" s="81" t="n"/>
      <c r="G153" s="81" t="n"/>
    </row>
    <row r="154">
      <c r="B154" t="inlineStr">
        <is>
          <t>Loan ID</t>
        </is>
      </c>
      <c r="C154" s="2" t="inlineStr">
        <is>
          <t>05-2959-002-000-00</t>
        </is>
      </c>
    </row>
    <row r="155">
      <c r="B155" t="inlineStr">
        <is>
          <t>Account</t>
        </is>
      </c>
      <c r="C155" s="2" t="inlineStr">
        <is>
          <t>7283609</t>
        </is>
      </c>
    </row>
    <row r="156">
      <c r="B156" t="inlineStr">
        <is>
          <t>Origination Date</t>
        </is>
      </c>
      <c r="C156" s="16" t="n">
        <v>44468</v>
      </c>
    </row>
    <row r="157">
      <c r="B157" t="inlineStr">
        <is>
          <t>Maturity Date</t>
        </is>
      </c>
      <c r="C157" s="16" t="n">
        <v>46580</v>
      </c>
    </row>
    <row r="158">
      <c r="B158" t="inlineStr">
        <is>
          <t>Original Balance</t>
        </is>
      </c>
      <c r="C158" s="3" t="n">
        <v>141875</v>
      </c>
    </row>
    <row r="159">
      <c r="B159" t="inlineStr">
        <is>
          <t>Remaining Balance (Nov 30, 2025)</t>
        </is>
      </c>
      <c r="C159" s="3" t="n">
        <v>44967</v>
      </c>
    </row>
    <row r="160">
      <c r="B160" t="inlineStr">
        <is>
          <t>Monthly Payment</t>
        </is>
      </c>
      <c r="C160" s="3" t="n">
        <v>2362.52</v>
      </c>
    </row>
    <row r="161">
      <c r="B161" t="inlineStr">
        <is>
          <t>Annual Interest Rate</t>
        </is>
      </c>
      <c r="C161" s="4" t="n">
        <v>0.0283</v>
      </c>
    </row>
    <row r="162">
      <c r="B162" s="6" t="inlineStr">
        <is>
          <t>Loan Type</t>
        </is>
      </c>
      <c r="C162" s="6" t="inlineStr">
        <is>
          <t>AMORTIZING</t>
        </is>
      </c>
    </row>
    <row r="163">
      <c r="B163" s="6" t="inlineStr">
        <is>
          <t>Use</t>
        </is>
      </c>
      <c r="C163" s="6" t="inlineStr">
        <is>
          <t>Equipment (Semi trucks)</t>
        </is>
      </c>
    </row>
    <row r="165">
      <c r="A165" s="23" t="inlineStr">
        <is>
          <t>Month #</t>
        </is>
      </c>
      <c r="B165" s="23" t="inlineStr">
        <is>
          <t>Date</t>
        </is>
      </c>
      <c r="C165" s="23" t="inlineStr">
        <is>
          <t>Opening Balance</t>
        </is>
      </c>
      <c r="D165" s="23" t="inlineStr">
        <is>
          <t>Interest</t>
        </is>
      </c>
      <c r="E165" s="23" t="inlineStr">
        <is>
          <t>Principal</t>
        </is>
      </c>
      <c r="F165" s="23" t="inlineStr">
        <is>
          <t>Closing Balance</t>
        </is>
      </c>
    </row>
    <row r="166">
      <c r="A166" s="34" t="n">
        <v>1</v>
      </c>
      <c r="B166" s="13" t="n">
        <v>46021</v>
      </c>
      <c r="C166" s="11">
        <f>$C$159</f>
        <v/>
      </c>
      <c r="D166" s="11">
        <f>MAX(0,C166*$C$161/12)</f>
        <v/>
      </c>
      <c r="E166" s="11">
        <f>MAX(0,MIN(C166,$C$160-D166))</f>
        <v/>
      </c>
      <c r="F166" s="11">
        <f>MAX(0,C166-E166)</f>
        <v/>
      </c>
    </row>
    <row r="167">
      <c r="A167" s="34" t="n">
        <v>2</v>
      </c>
      <c r="B167" s="13" t="n">
        <v>46052</v>
      </c>
      <c r="C167" s="11">
        <f>F166</f>
        <v/>
      </c>
      <c r="D167" s="11">
        <f>MAX(0,C167*$C$161/12)</f>
        <v/>
      </c>
      <c r="E167" s="11">
        <f>MAX(0,MIN(C167,$C$160-D167))</f>
        <v/>
      </c>
      <c r="F167" s="11">
        <f>MAX(0,C167-E167)</f>
        <v/>
      </c>
    </row>
    <row r="168">
      <c r="A168" s="34" t="n">
        <v>3</v>
      </c>
      <c r="B168" s="13" t="n">
        <v>46081</v>
      </c>
      <c r="C168" s="11">
        <f>F167</f>
        <v/>
      </c>
      <c r="D168" s="11">
        <f>MAX(0,C168*$C$161/12)</f>
        <v/>
      </c>
      <c r="E168" s="11">
        <f>MAX(0,MIN(C168,$C$160-D168))</f>
        <v/>
      </c>
      <c r="F168" s="11">
        <f>MAX(0,C168-E168)</f>
        <v/>
      </c>
    </row>
    <row r="169">
      <c r="A169" s="34" t="n">
        <v>4</v>
      </c>
      <c r="B169" s="13" t="n">
        <v>46111</v>
      </c>
      <c r="C169" s="11">
        <f>F168</f>
        <v/>
      </c>
      <c r="D169" s="11">
        <f>MAX(0,C169*$C$161/12)</f>
        <v/>
      </c>
      <c r="E169" s="11">
        <f>MAX(0,MIN(C169,$C$160-D169))</f>
        <v/>
      </c>
      <c r="F169" s="11">
        <f>MAX(0,C169-E169)</f>
        <v/>
      </c>
    </row>
    <row r="170">
      <c r="A170" s="34" t="n">
        <v>5</v>
      </c>
      <c r="B170" s="13" t="n">
        <v>46142</v>
      </c>
      <c r="C170" s="11">
        <f>F169</f>
        <v/>
      </c>
      <c r="D170" s="11">
        <f>MAX(0,C170*$C$161/12)</f>
        <v/>
      </c>
      <c r="E170" s="11">
        <f>MAX(0,MIN(C170,$C$160-D170))</f>
        <v/>
      </c>
      <c r="F170" s="11">
        <f>MAX(0,C170-E170)</f>
        <v/>
      </c>
    </row>
    <row r="171">
      <c r="A171" s="34" t="n">
        <v>6</v>
      </c>
      <c r="B171" s="13" t="n">
        <v>46172</v>
      </c>
      <c r="C171" s="11">
        <f>F170</f>
        <v/>
      </c>
      <c r="D171" s="11">
        <f>MAX(0,C171*$C$161/12)</f>
        <v/>
      </c>
      <c r="E171" s="11">
        <f>MAX(0,MIN(C171,$C$160-D171))</f>
        <v/>
      </c>
      <c r="F171" s="11">
        <f>MAX(0,C171-E171)</f>
        <v/>
      </c>
    </row>
    <row r="172">
      <c r="A172" s="34" t="n">
        <v>7</v>
      </c>
      <c r="B172" s="13" t="n">
        <v>46203</v>
      </c>
      <c r="C172" s="11">
        <f>F171</f>
        <v/>
      </c>
      <c r="D172" s="11">
        <f>MAX(0,C172*$C$161/12)</f>
        <v/>
      </c>
      <c r="E172" s="11">
        <f>MAX(0,MIN(C172,$C$160-D172))</f>
        <v/>
      </c>
      <c r="F172" s="11">
        <f>MAX(0,C172-E172)</f>
        <v/>
      </c>
    </row>
    <row r="173">
      <c r="A173" s="34" t="n">
        <v>8</v>
      </c>
      <c r="B173" s="13" t="n">
        <v>46233</v>
      </c>
      <c r="C173" s="11">
        <f>F172</f>
        <v/>
      </c>
      <c r="D173" s="11">
        <f>MAX(0,C173*$C$161/12)</f>
        <v/>
      </c>
      <c r="E173" s="11">
        <f>MAX(0,MIN(C173,$C$160-D173))</f>
        <v/>
      </c>
      <c r="F173" s="11">
        <f>MAX(0,C173-E173)</f>
        <v/>
      </c>
    </row>
    <row r="174">
      <c r="A174" s="34" t="n">
        <v>9</v>
      </c>
      <c r="B174" s="13" t="n">
        <v>46264</v>
      </c>
      <c r="C174" s="11">
        <f>F173</f>
        <v/>
      </c>
      <c r="D174" s="11">
        <f>MAX(0,C174*$C$161/12)</f>
        <v/>
      </c>
      <c r="E174" s="11">
        <f>MAX(0,MIN(C174,$C$160-D174))</f>
        <v/>
      </c>
      <c r="F174" s="11">
        <f>MAX(0,C174-E174)</f>
        <v/>
      </c>
    </row>
    <row r="175">
      <c r="A175" s="34" t="n">
        <v>10</v>
      </c>
      <c r="B175" s="13" t="n">
        <v>46295</v>
      </c>
      <c r="C175" s="11">
        <f>F174</f>
        <v/>
      </c>
      <c r="D175" s="11">
        <f>MAX(0,C175*$C$161/12)</f>
        <v/>
      </c>
      <c r="E175" s="11">
        <f>MAX(0,MIN(C175,$C$160-D175))</f>
        <v/>
      </c>
      <c r="F175" s="11">
        <f>MAX(0,C175-E175)</f>
        <v/>
      </c>
    </row>
    <row r="176">
      <c r="A176" s="34" t="n">
        <v>11</v>
      </c>
      <c r="B176" s="13" t="n">
        <v>46325</v>
      </c>
      <c r="C176" s="11">
        <f>F175</f>
        <v/>
      </c>
      <c r="D176" s="11">
        <f>MAX(0,C176*$C$161/12)</f>
        <v/>
      </c>
      <c r="E176" s="11">
        <f>MAX(0,MIN(C176,$C$160-D176))</f>
        <v/>
      </c>
      <c r="F176" s="11">
        <f>MAX(0,C176-E176)</f>
        <v/>
      </c>
    </row>
    <row r="177">
      <c r="A177" s="34" t="n">
        <v>12</v>
      </c>
      <c r="B177" s="13" t="n">
        <v>46356</v>
      </c>
      <c r="C177" s="11">
        <f>F176</f>
        <v/>
      </c>
      <c r="D177" s="11">
        <f>MAX(0,C177*$C$161/12)</f>
        <v/>
      </c>
      <c r="E177" s="11">
        <f>MAX(0,MIN(C177,$C$160-D177))</f>
        <v/>
      </c>
      <c r="F177" s="11">
        <f>MAX(0,C177-E177)</f>
        <v/>
      </c>
    </row>
    <row r="178">
      <c r="A178" s="34" t="n">
        <v>13</v>
      </c>
      <c r="B178" s="13" t="n">
        <v>46386</v>
      </c>
      <c r="C178" s="11">
        <f>F177</f>
        <v/>
      </c>
      <c r="D178" s="11">
        <f>MAX(0,C178*$C$161/12)</f>
        <v/>
      </c>
      <c r="E178" s="11">
        <f>MAX(0,MIN(C178,$C$160-D178))</f>
        <v/>
      </c>
      <c r="F178" s="11">
        <f>MAX(0,C178-E178)</f>
        <v/>
      </c>
    </row>
    <row r="179">
      <c r="A179" s="34" t="n">
        <v>14</v>
      </c>
      <c r="B179" s="13" t="n">
        <v>46417</v>
      </c>
      <c r="C179" s="11">
        <f>F178</f>
        <v/>
      </c>
      <c r="D179" s="11">
        <f>MAX(0,C179*$C$161/12)</f>
        <v/>
      </c>
      <c r="E179" s="11">
        <f>MAX(0,MIN(C179,$C$160-D179))</f>
        <v/>
      </c>
      <c r="F179" s="11">
        <f>MAX(0,C179-E179)</f>
        <v/>
      </c>
    </row>
    <row r="180">
      <c r="A180" s="34" t="n">
        <v>15</v>
      </c>
      <c r="B180" s="13" t="n">
        <v>46446</v>
      </c>
      <c r="C180" s="11">
        <f>F179</f>
        <v/>
      </c>
      <c r="D180" s="11">
        <f>MAX(0,C180*$C$161/12)</f>
        <v/>
      </c>
      <c r="E180" s="11">
        <f>MAX(0,MIN(C180,$C$160-D180))</f>
        <v/>
      </c>
      <c r="F180" s="11">
        <f>MAX(0,C180-E180)</f>
        <v/>
      </c>
    </row>
    <row r="181">
      <c r="A181" s="34" t="n">
        <v>16</v>
      </c>
      <c r="B181" s="13" t="n">
        <v>46476</v>
      </c>
      <c r="C181" s="11">
        <f>F180</f>
        <v/>
      </c>
      <c r="D181" s="11">
        <f>MAX(0,C181*$C$161/12)</f>
        <v/>
      </c>
      <c r="E181" s="11">
        <f>MAX(0,MIN(C181,$C$160-D181))</f>
        <v/>
      </c>
      <c r="F181" s="11">
        <f>MAX(0,C181-E181)</f>
        <v/>
      </c>
    </row>
    <row r="182">
      <c r="A182" s="34" t="n">
        <v>17</v>
      </c>
      <c r="B182" s="13" t="n">
        <v>46507</v>
      </c>
      <c r="C182" s="11">
        <f>F181</f>
        <v/>
      </c>
      <c r="D182" s="11">
        <f>MAX(0,C182*$C$161/12)</f>
        <v/>
      </c>
      <c r="E182" s="11">
        <f>MAX(0,MIN(C182,$C$160-D182))</f>
        <v/>
      </c>
      <c r="F182" s="11">
        <f>MAX(0,C182-E182)</f>
        <v/>
      </c>
    </row>
    <row r="183">
      <c r="A183" s="34" t="n">
        <v>18</v>
      </c>
      <c r="B183" s="13" t="n">
        <v>46537</v>
      </c>
      <c r="C183" s="11">
        <f>F182</f>
        <v/>
      </c>
      <c r="D183" s="11">
        <f>MAX(0,C183*$C$161/12)</f>
        <v/>
      </c>
      <c r="E183" s="11">
        <f>MAX(0,MIN(C183,$C$160-D183))</f>
        <v/>
      </c>
      <c r="F183" s="11">
        <f>MAX(0,C183-E183)</f>
        <v/>
      </c>
    </row>
    <row r="184">
      <c r="A184" s="34" t="n">
        <v>19</v>
      </c>
      <c r="B184" s="13" t="n">
        <v>46568</v>
      </c>
      <c r="C184" s="11">
        <f>F183</f>
        <v/>
      </c>
      <c r="D184" s="11">
        <f>MAX(0,C184*$C$161/12)</f>
        <v/>
      </c>
      <c r="E184" s="11">
        <f>MAX(0,MIN(C184,$C$160-D184))</f>
        <v/>
      </c>
      <c r="F184" s="11">
        <f>MAX(0,C184-E184)</f>
        <v/>
      </c>
    </row>
    <row r="185">
      <c r="A185" s="34" t="n">
        <v>20</v>
      </c>
      <c r="B185" s="13" t="n">
        <v>46598</v>
      </c>
      <c r="C185" s="11">
        <f>F184</f>
        <v/>
      </c>
      <c r="D185" s="11">
        <f>MAX(0,C185*$C$161/12)</f>
        <v/>
      </c>
      <c r="E185" s="11">
        <f>MAX(0,MIN(C185,$C$160-D185))</f>
        <v/>
      </c>
      <c r="F185" s="11">
        <f>MAX(0,C185-E185)</f>
        <v/>
      </c>
    </row>
    <row r="186">
      <c r="A186" s="34" t="n"/>
      <c r="B186" s="41" t="inlineStr">
        <is>
          <t>TOTAL</t>
        </is>
      </c>
      <c r="C186" s="34" t="n"/>
      <c r="D186" s="42">
        <f>SUM(D166:D185)</f>
        <v/>
      </c>
      <c r="E186" s="42">
        <f>SUM(E166:E185)</f>
        <v/>
      </c>
      <c r="F186" s="34" t="n"/>
    </row>
    <row r="188">
      <c r="A188" s="80" t="inlineStr">
        <is>
          <t>LOAN 6: 3 T680 (Oct 2021)</t>
        </is>
      </c>
      <c r="B188" s="81" t="n"/>
      <c r="C188" s="81" t="n"/>
      <c r="D188" s="81" t="n"/>
      <c r="E188" s="81" t="n"/>
      <c r="F188" s="81" t="n"/>
      <c r="G188" s="81" t="n"/>
    </row>
    <row r="189">
      <c r="B189" t="inlineStr">
        <is>
          <t>Loan ID</t>
        </is>
      </c>
      <c r="C189" s="2" t="inlineStr">
        <is>
          <t>05-2959-003-000-00</t>
        </is>
      </c>
    </row>
    <row r="190">
      <c r="B190" t="inlineStr">
        <is>
          <t>Account</t>
        </is>
      </c>
      <c r="C190" s="2" t="inlineStr">
        <is>
          <t>7285620</t>
        </is>
      </c>
    </row>
    <row r="191">
      <c r="B191" t="inlineStr">
        <is>
          <t>Origination Date</t>
        </is>
      </c>
      <c r="C191" s="16" t="n">
        <v>44476</v>
      </c>
    </row>
    <row r="192">
      <c r="B192" t="inlineStr">
        <is>
          <t>Maturity Date</t>
        </is>
      </c>
      <c r="C192" s="16" t="n">
        <v>46589</v>
      </c>
    </row>
    <row r="193">
      <c r="B193" t="inlineStr">
        <is>
          <t>Original Balance</t>
        </is>
      </c>
      <c r="C193" s="3" t="n">
        <v>428375</v>
      </c>
    </row>
    <row r="194">
      <c r="B194" t="inlineStr">
        <is>
          <t>Remaining Balance (Nov 30, 2025)</t>
        </is>
      </c>
      <c r="C194" s="3" t="n">
        <v>137705</v>
      </c>
    </row>
    <row r="195">
      <c r="B195" t="inlineStr">
        <is>
          <t>Monthly Payment</t>
        </is>
      </c>
      <c r="C195" s="3" t="n">
        <v>7087.77</v>
      </c>
    </row>
    <row r="196">
      <c r="B196" t="inlineStr">
        <is>
          <t>Annual Interest Rate</t>
        </is>
      </c>
      <c r="C196" s="4" t="n">
        <v>0.0279</v>
      </c>
    </row>
    <row r="197">
      <c r="B197" s="6" t="inlineStr">
        <is>
          <t>Loan Type</t>
        </is>
      </c>
      <c r="C197" s="6" t="inlineStr">
        <is>
          <t>AMORTIZING</t>
        </is>
      </c>
    </row>
    <row r="198">
      <c r="B198" s="6" t="inlineStr">
        <is>
          <t>Use</t>
        </is>
      </c>
      <c r="C198" s="6" t="inlineStr">
        <is>
          <t>Equipment (Semi trucks)</t>
        </is>
      </c>
    </row>
    <row r="200">
      <c r="A200" s="23" t="inlineStr">
        <is>
          <t>Month #</t>
        </is>
      </c>
      <c r="B200" s="23" t="inlineStr">
        <is>
          <t>Date</t>
        </is>
      </c>
      <c r="C200" s="23" t="inlineStr">
        <is>
          <t>Opening Balance</t>
        </is>
      </c>
      <c r="D200" s="23" t="inlineStr">
        <is>
          <t>Interest</t>
        </is>
      </c>
      <c r="E200" s="23" t="inlineStr">
        <is>
          <t>Principal</t>
        </is>
      </c>
      <c r="F200" s="23" t="inlineStr">
        <is>
          <t>Closing Balance</t>
        </is>
      </c>
    </row>
    <row r="201">
      <c r="A201" s="34" t="n">
        <v>1</v>
      </c>
      <c r="B201" s="13" t="n">
        <v>46021</v>
      </c>
      <c r="C201" s="11">
        <f>$C$194</f>
        <v/>
      </c>
      <c r="D201" s="11">
        <f>MAX(0,C201*$C$196/12)</f>
        <v/>
      </c>
      <c r="E201" s="11">
        <f>MAX(0,MIN(C201,$C$195-D201))</f>
        <v/>
      </c>
      <c r="F201" s="11">
        <f>MAX(0,C201-E201)</f>
        <v/>
      </c>
    </row>
    <row r="202">
      <c r="A202" s="34" t="n">
        <v>2</v>
      </c>
      <c r="B202" s="13" t="n">
        <v>46052</v>
      </c>
      <c r="C202" s="11">
        <f>F201</f>
        <v/>
      </c>
      <c r="D202" s="11">
        <f>MAX(0,C202*$C$196/12)</f>
        <v/>
      </c>
      <c r="E202" s="11">
        <f>MAX(0,MIN(C202,$C$195-D202))</f>
        <v/>
      </c>
      <c r="F202" s="11">
        <f>MAX(0,C202-E202)</f>
        <v/>
      </c>
    </row>
    <row r="203">
      <c r="A203" s="34" t="n">
        <v>3</v>
      </c>
      <c r="B203" s="13" t="n">
        <v>46081</v>
      </c>
      <c r="C203" s="11">
        <f>F202</f>
        <v/>
      </c>
      <c r="D203" s="11">
        <f>MAX(0,C203*$C$196/12)</f>
        <v/>
      </c>
      <c r="E203" s="11">
        <f>MAX(0,MIN(C203,$C$195-D203))</f>
        <v/>
      </c>
      <c r="F203" s="11">
        <f>MAX(0,C203-E203)</f>
        <v/>
      </c>
    </row>
    <row r="204">
      <c r="A204" s="34" t="n">
        <v>4</v>
      </c>
      <c r="B204" s="13" t="n">
        <v>46111</v>
      </c>
      <c r="C204" s="11">
        <f>F203</f>
        <v/>
      </c>
      <c r="D204" s="11">
        <f>MAX(0,C204*$C$196/12)</f>
        <v/>
      </c>
      <c r="E204" s="11">
        <f>MAX(0,MIN(C204,$C$195-D204))</f>
        <v/>
      </c>
      <c r="F204" s="11">
        <f>MAX(0,C204-E204)</f>
        <v/>
      </c>
    </row>
    <row r="205">
      <c r="A205" s="34" t="n">
        <v>5</v>
      </c>
      <c r="B205" s="13" t="n">
        <v>46142</v>
      </c>
      <c r="C205" s="11">
        <f>F204</f>
        <v/>
      </c>
      <c r="D205" s="11">
        <f>MAX(0,C205*$C$196/12)</f>
        <v/>
      </c>
      <c r="E205" s="11">
        <f>MAX(0,MIN(C205,$C$195-D205))</f>
        <v/>
      </c>
      <c r="F205" s="11">
        <f>MAX(0,C205-E205)</f>
        <v/>
      </c>
    </row>
    <row r="206">
      <c r="A206" s="34" t="n">
        <v>6</v>
      </c>
      <c r="B206" s="13" t="n">
        <v>46172</v>
      </c>
      <c r="C206" s="11">
        <f>F205</f>
        <v/>
      </c>
      <c r="D206" s="11">
        <f>MAX(0,C206*$C$196/12)</f>
        <v/>
      </c>
      <c r="E206" s="11">
        <f>MAX(0,MIN(C206,$C$195-D206))</f>
        <v/>
      </c>
      <c r="F206" s="11">
        <f>MAX(0,C206-E206)</f>
        <v/>
      </c>
    </row>
    <row r="207">
      <c r="A207" s="34" t="n">
        <v>7</v>
      </c>
      <c r="B207" s="13" t="n">
        <v>46203</v>
      </c>
      <c r="C207" s="11">
        <f>F206</f>
        <v/>
      </c>
      <c r="D207" s="11">
        <f>MAX(0,C207*$C$196/12)</f>
        <v/>
      </c>
      <c r="E207" s="11">
        <f>MAX(0,MIN(C207,$C$195-D207))</f>
        <v/>
      </c>
      <c r="F207" s="11">
        <f>MAX(0,C207-E207)</f>
        <v/>
      </c>
    </row>
    <row r="208">
      <c r="A208" s="34" t="n">
        <v>8</v>
      </c>
      <c r="B208" s="13" t="n">
        <v>46233</v>
      </c>
      <c r="C208" s="11">
        <f>F207</f>
        <v/>
      </c>
      <c r="D208" s="11">
        <f>MAX(0,C208*$C$196/12)</f>
        <v/>
      </c>
      <c r="E208" s="11">
        <f>MAX(0,MIN(C208,$C$195-D208))</f>
        <v/>
      </c>
      <c r="F208" s="11">
        <f>MAX(0,C208-E208)</f>
        <v/>
      </c>
    </row>
    <row r="209">
      <c r="A209" s="34" t="n">
        <v>9</v>
      </c>
      <c r="B209" s="13" t="n">
        <v>46264</v>
      </c>
      <c r="C209" s="11">
        <f>F208</f>
        <v/>
      </c>
      <c r="D209" s="11">
        <f>MAX(0,C209*$C$196/12)</f>
        <v/>
      </c>
      <c r="E209" s="11">
        <f>MAX(0,MIN(C209,$C$195-D209))</f>
        <v/>
      </c>
      <c r="F209" s="11">
        <f>MAX(0,C209-E209)</f>
        <v/>
      </c>
    </row>
    <row r="210">
      <c r="A210" s="34" t="n">
        <v>10</v>
      </c>
      <c r="B210" s="13" t="n">
        <v>46295</v>
      </c>
      <c r="C210" s="11">
        <f>F209</f>
        <v/>
      </c>
      <c r="D210" s="11">
        <f>MAX(0,C210*$C$196/12)</f>
        <v/>
      </c>
      <c r="E210" s="11">
        <f>MAX(0,MIN(C210,$C$195-D210))</f>
        <v/>
      </c>
      <c r="F210" s="11">
        <f>MAX(0,C210-E210)</f>
        <v/>
      </c>
    </row>
    <row r="211">
      <c r="A211" s="34" t="n">
        <v>11</v>
      </c>
      <c r="B211" s="13" t="n">
        <v>46325</v>
      </c>
      <c r="C211" s="11">
        <f>F210</f>
        <v/>
      </c>
      <c r="D211" s="11">
        <f>MAX(0,C211*$C$196/12)</f>
        <v/>
      </c>
      <c r="E211" s="11">
        <f>MAX(0,MIN(C211,$C$195-D211))</f>
        <v/>
      </c>
      <c r="F211" s="11">
        <f>MAX(0,C211-E211)</f>
        <v/>
      </c>
    </row>
    <row r="212">
      <c r="A212" s="34" t="n">
        <v>12</v>
      </c>
      <c r="B212" s="13" t="n">
        <v>46356</v>
      </c>
      <c r="C212" s="11">
        <f>F211</f>
        <v/>
      </c>
      <c r="D212" s="11">
        <f>MAX(0,C212*$C$196/12)</f>
        <v/>
      </c>
      <c r="E212" s="11">
        <f>MAX(0,MIN(C212,$C$195-D212))</f>
        <v/>
      </c>
      <c r="F212" s="11">
        <f>MAX(0,C212-E212)</f>
        <v/>
      </c>
    </row>
    <row r="213">
      <c r="A213" s="34" t="n">
        <v>13</v>
      </c>
      <c r="B213" s="13" t="n">
        <v>46386</v>
      </c>
      <c r="C213" s="11">
        <f>F212</f>
        <v/>
      </c>
      <c r="D213" s="11">
        <f>MAX(0,C213*$C$196/12)</f>
        <v/>
      </c>
      <c r="E213" s="11">
        <f>MAX(0,MIN(C213,$C$195-D213))</f>
        <v/>
      </c>
      <c r="F213" s="11">
        <f>MAX(0,C213-E213)</f>
        <v/>
      </c>
    </row>
    <row r="214">
      <c r="A214" s="34" t="n">
        <v>14</v>
      </c>
      <c r="B214" s="13" t="n">
        <v>46417</v>
      </c>
      <c r="C214" s="11">
        <f>F213</f>
        <v/>
      </c>
      <c r="D214" s="11">
        <f>MAX(0,C214*$C$196/12)</f>
        <v/>
      </c>
      <c r="E214" s="11">
        <f>MAX(0,MIN(C214,$C$195-D214))</f>
        <v/>
      </c>
      <c r="F214" s="11">
        <f>MAX(0,C214-E214)</f>
        <v/>
      </c>
    </row>
    <row r="215">
      <c r="A215" s="34" t="n">
        <v>15</v>
      </c>
      <c r="B215" s="13" t="n">
        <v>46446</v>
      </c>
      <c r="C215" s="11">
        <f>F214</f>
        <v/>
      </c>
      <c r="D215" s="11">
        <f>MAX(0,C215*$C$196/12)</f>
        <v/>
      </c>
      <c r="E215" s="11">
        <f>MAX(0,MIN(C215,$C$195-D215))</f>
        <v/>
      </c>
      <c r="F215" s="11">
        <f>MAX(0,C215-E215)</f>
        <v/>
      </c>
    </row>
    <row r="216">
      <c r="A216" s="34" t="n">
        <v>16</v>
      </c>
      <c r="B216" s="13" t="n">
        <v>46476</v>
      </c>
      <c r="C216" s="11">
        <f>F215</f>
        <v/>
      </c>
      <c r="D216" s="11">
        <f>MAX(0,C216*$C$196/12)</f>
        <v/>
      </c>
      <c r="E216" s="11">
        <f>MAX(0,MIN(C216,$C$195-D216))</f>
        <v/>
      </c>
      <c r="F216" s="11">
        <f>MAX(0,C216-E216)</f>
        <v/>
      </c>
    </row>
    <row r="217">
      <c r="A217" s="34" t="n">
        <v>17</v>
      </c>
      <c r="B217" s="13" t="n">
        <v>46507</v>
      </c>
      <c r="C217" s="11">
        <f>F216</f>
        <v/>
      </c>
      <c r="D217" s="11">
        <f>MAX(0,C217*$C$196/12)</f>
        <v/>
      </c>
      <c r="E217" s="11">
        <f>MAX(0,MIN(C217,$C$195-D217))</f>
        <v/>
      </c>
      <c r="F217" s="11">
        <f>MAX(0,C217-E217)</f>
        <v/>
      </c>
    </row>
    <row r="218">
      <c r="A218" s="34" t="n">
        <v>18</v>
      </c>
      <c r="B218" s="13" t="n">
        <v>46537</v>
      </c>
      <c r="C218" s="11">
        <f>F217</f>
        <v/>
      </c>
      <c r="D218" s="11">
        <f>MAX(0,C218*$C$196/12)</f>
        <v/>
      </c>
      <c r="E218" s="11">
        <f>MAX(0,MIN(C218,$C$195-D218))</f>
        <v/>
      </c>
      <c r="F218" s="11">
        <f>MAX(0,C218-E218)</f>
        <v/>
      </c>
    </row>
    <row r="219">
      <c r="A219" s="34" t="n">
        <v>19</v>
      </c>
      <c r="B219" s="13" t="n">
        <v>46568</v>
      </c>
      <c r="C219" s="11">
        <f>F218</f>
        <v/>
      </c>
      <c r="D219" s="11">
        <f>MAX(0,C219*$C$196/12)</f>
        <v/>
      </c>
      <c r="E219" s="11">
        <f>MAX(0,MIN(C219,$C$195-D219))</f>
        <v/>
      </c>
      <c r="F219" s="11">
        <f>MAX(0,C219-E219)</f>
        <v/>
      </c>
    </row>
    <row r="220">
      <c r="A220" s="34" t="n">
        <v>20</v>
      </c>
      <c r="B220" s="13" t="n">
        <v>46598</v>
      </c>
      <c r="C220" s="11">
        <f>F219</f>
        <v/>
      </c>
      <c r="D220" s="11">
        <f>MAX(0,C220*$C$196/12)</f>
        <v/>
      </c>
      <c r="E220" s="11">
        <f>MAX(0,MIN(C220,$C$195-D220))</f>
        <v/>
      </c>
      <c r="F220" s="11">
        <f>MAX(0,C220-E220)</f>
        <v/>
      </c>
    </row>
    <row r="221">
      <c r="A221" s="34" t="n"/>
      <c r="B221" s="41" t="inlineStr">
        <is>
          <t>TOTAL</t>
        </is>
      </c>
      <c r="C221" s="34" t="n"/>
      <c r="D221" s="42">
        <f>SUM(D201:D220)</f>
        <v/>
      </c>
      <c r="E221" s="42">
        <f>SUM(E201:E220)</f>
        <v/>
      </c>
      <c r="F221" s="34" t="n"/>
    </row>
    <row r="223">
      <c r="A223" s="80" t="inlineStr">
        <is>
          <t>LOAN 7: 1 T680 (Oct 2021)</t>
        </is>
      </c>
      <c r="B223" s="81" t="n"/>
      <c r="C223" s="81" t="n"/>
      <c r="D223" s="81" t="n"/>
      <c r="E223" s="81" t="n"/>
      <c r="F223" s="81" t="n"/>
      <c r="G223" s="81" t="n"/>
    </row>
    <row r="224">
      <c r="B224" t="inlineStr">
        <is>
          <t>Loan ID</t>
        </is>
      </c>
      <c r="C224" s="2" t="inlineStr">
        <is>
          <t>05-2959-004-000-00</t>
        </is>
      </c>
    </row>
    <row r="225">
      <c r="B225" t="inlineStr">
        <is>
          <t>Account</t>
        </is>
      </c>
      <c r="C225" s="2" t="inlineStr">
        <is>
          <t>7288350</t>
        </is>
      </c>
    </row>
    <row r="226">
      <c r="B226" t="inlineStr">
        <is>
          <t>Origination Date</t>
        </is>
      </c>
      <c r="C226" s="16" t="n">
        <v>44488</v>
      </c>
    </row>
    <row r="227">
      <c r="B227" t="inlineStr">
        <is>
          <t>Maturity Date</t>
        </is>
      </c>
      <c r="C227" s="16" t="n">
        <v>46602</v>
      </c>
    </row>
    <row r="228">
      <c r="B228" t="inlineStr">
        <is>
          <t>Original Balance</t>
        </is>
      </c>
      <c r="C228" s="3" t="n">
        <v>141875</v>
      </c>
    </row>
    <row r="229">
      <c r="B229" t="inlineStr">
        <is>
          <t>Remaining Balance (Nov 30, 2025)</t>
        </is>
      </c>
      <c r="C229" s="3" t="n">
        <v>47688</v>
      </c>
    </row>
    <row r="230">
      <c r="B230" t="inlineStr">
        <is>
          <t>Monthly Payment</t>
        </is>
      </c>
      <c r="C230" s="3" t="n">
        <v>2361.89</v>
      </c>
    </row>
    <row r="231">
      <c r="B231" t="inlineStr">
        <is>
          <t>Annual Interest Rate</t>
        </is>
      </c>
      <c r="C231" s="4" t="n">
        <v>0.0279</v>
      </c>
    </row>
    <row r="232">
      <c r="B232" s="6" t="inlineStr">
        <is>
          <t>Loan Type</t>
        </is>
      </c>
      <c r="C232" s="6" t="inlineStr">
        <is>
          <t>AMORTIZING</t>
        </is>
      </c>
    </row>
    <row r="233">
      <c r="B233" s="6" t="inlineStr">
        <is>
          <t>Use</t>
        </is>
      </c>
      <c r="C233" s="6" t="inlineStr">
        <is>
          <t>Equipment (Semi trucks)</t>
        </is>
      </c>
    </row>
    <row r="235">
      <c r="A235" s="23" t="inlineStr">
        <is>
          <t>Month #</t>
        </is>
      </c>
      <c r="B235" s="23" t="inlineStr">
        <is>
          <t>Date</t>
        </is>
      </c>
      <c r="C235" s="23" t="inlineStr">
        <is>
          <t>Opening Balance</t>
        </is>
      </c>
      <c r="D235" s="23" t="inlineStr">
        <is>
          <t>Interest</t>
        </is>
      </c>
      <c r="E235" s="23" t="inlineStr">
        <is>
          <t>Principal</t>
        </is>
      </c>
      <c r="F235" s="23" t="inlineStr">
        <is>
          <t>Closing Balance</t>
        </is>
      </c>
    </row>
    <row r="236">
      <c r="A236" s="34" t="n">
        <v>1</v>
      </c>
      <c r="B236" s="13" t="n">
        <v>46021</v>
      </c>
      <c r="C236" s="11">
        <f>$C$229</f>
        <v/>
      </c>
      <c r="D236" s="11">
        <f>MAX(0,C236*$C$231/12)</f>
        <v/>
      </c>
      <c r="E236" s="11">
        <f>MAX(0,MIN(C236,$C$230-D236))</f>
        <v/>
      </c>
      <c r="F236" s="11">
        <f>MAX(0,C236-E236)</f>
        <v/>
      </c>
    </row>
    <row r="237">
      <c r="A237" s="34" t="n">
        <v>2</v>
      </c>
      <c r="B237" s="13" t="n">
        <v>46052</v>
      </c>
      <c r="C237" s="11">
        <f>F236</f>
        <v/>
      </c>
      <c r="D237" s="11">
        <f>MAX(0,C237*$C$231/12)</f>
        <v/>
      </c>
      <c r="E237" s="11">
        <f>MAX(0,MIN(C237,$C$230-D237))</f>
        <v/>
      </c>
      <c r="F237" s="11">
        <f>MAX(0,C237-E237)</f>
        <v/>
      </c>
    </row>
    <row r="238">
      <c r="A238" s="34" t="n">
        <v>3</v>
      </c>
      <c r="B238" s="13" t="n">
        <v>46081</v>
      </c>
      <c r="C238" s="11">
        <f>F237</f>
        <v/>
      </c>
      <c r="D238" s="11">
        <f>MAX(0,C238*$C$231/12)</f>
        <v/>
      </c>
      <c r="E238" s="11">
        <f>MAX(0,MIN(C238,$C$230-D238))</f>
        <v/>
      </c>
      <c r="F238" s="11">
        <f>MAX(0,C238-E238)</f>
        <v/>
      </c>
    </row>
    <row r="239">
      <c r="A239" s="34" t="n">
        <v>4</v>
      </c>
      <c r="B239" s="13" t="n">
        <v>46111</v>
      </c>
      <c r="C239" s="11">
        <f>F238</f>
        <v/>
      </c>
      <c r="D239" s="11">
        <f>MAX(0,C239*$C$231/12)</f>
        <v/>
      </c>
      <c r="E239" s="11">
        <f>MAX(0,MIN(C239,$C$230-D239))</f>
        <v/>
      </c>
      <c r="F239" s="11">
        <f>MAX(0,C239-E239)</f>
        <v/>
      </c>
    </row>
    <row r="240">
      <c r="A240" s="34" t="n">
        <v>5</v>
      </c>
      <c r="B240" s="13" t="n">
        <v>46142</v>
      </c>
      <c r="C240" s="11">
        <f>F239</f>
        <v/>
      </c>
      <c r="D240" s="11">
        <f>MAX(0,C240*$C$231/12)</f>
        <v/>
      </c>
      <c r="E240" s="11">
        <f>MAX(0,MIN(C240,$C$230-D240))</f>
        <v/>
      </c>
      <c r="F240" s="11">
        <f>MAX(0,C240-E240)</f>
        <v/>
      </c>
    </row>
    <row r="241">
      <c r="A241" s="34" t="n">
        <v>6</v>
      </c>
      <c r="B241" s="13" t="n">
        <v>46172</v>
      </c>
      <c r="C241" s="11">
        <f>F240</f>
        <v/>
      </c>
      <c r="D241" s="11">
        <f>MAX(0,C241*$C$231/12)</f>
        <v/>
      </c>
      <c r="E241" s="11">
        <f>MAX(0,MIN(C241,$C$230-D241))</f>
        <v/>
      </c>
      <c r="F241" s="11">
        <f>MAX(0,C241-E241)</f>
        <v/>
      </c>
    </row>
    <row r="242">
      <c r="A242" s="34" t="n">
        <v>7</v>
      </c>
      <c r="B242" s="13" t="n">
        <v>46203</v>
      </c>
      <c r="C242" s="11">
        <f>F241</f>
        <v/>
      </c>
      <c r="D242" s="11">
        <f>MAX(0,C242*$C$231/12)</f>
        <v/>
      </c>
      <c r="E242" s="11">
        <f>MAX(0,MIN(C242,$C$230-D242))</f>
        <v/>
      </c>
      <c r="F242" s="11">
        <f>MAX(0,C242-E242)</f>
        <v/>
      </c>
    </row>
    <row r="243">
      <c r="A243" s="34" t="n">
        <v>8</v>
      </c>
      <c r="B243" s="13" t="n">
        <v>46233</v>
      </c>
      <c r="C243" s="11">
        <f>F242</f>
        <v/>
      </c>
      <c r="D243" s="11">
        <f>MAX(0,C243*$C$231/12)</f>
        <v/>
      </c>
      <c r="E243" s="11">
        <f>MAX(0,MIN(C243,$C$230-D243))</f>
        <v/>
      </c>
      <c r="F243" s="11">
        <f>MAX(0,C243-E243)</f>
        <v/>
      </c>
    </row>
    <row r="244">
      <c r="A244" s="34" t="n">
        <v>9</v>
      </c>
      <c r="B244" s="13" t="n">
        <v>46264</v>
      </c>
      <c r="C244" s="11">
        <f>F243</f>
        <v/>
      </c>
      <c r="D244" s="11">
        <f>MAX(0,C244*$C$231/12)</f>
        <v/>
      </c>
      <c r="E244" s="11">
        <f>MAX(0,MIN(C244,$C$230-D244))</f>
        <v/>
      </c>
      <c r="F244" s="11">
        <f>MAX(0,C244-E244)</f>
        <v/>
      </c>
    </row>
    <row r="245">
      <c r="A245" s="34" t="n">
        <v>10</v>
      </c>
      <c r="B245" s="13" t="n">
        <v>46295</v>
      </c>
      <c r="C245" s="11">
        <f>F244</f>
        <v/>
      </c>
      <c r="D245" s="11">
        <f>MAX(0,C245*$C$231/12)</f>
        <v/>
      </c>
      <c r="E245" s="11">
        <f>MAX(0,MIN(C245,$C$230-D245))</f>
        <v/>
      </c>
      <c r="F245" s="11">
        <f>MAX(0,C245-E245)</f>
        <v/>
      </c>
    </row>
    <row r="246">
      <c r="A246" s="34" t="n">
        <v>11</v>
      </c>
      <c r="B246" s="13" t="n">
        <v>46325</v>
      </c>
      <c r="C246" s="11">
        <f>F245</f>
        <v/>
      </c>
      <c r="D246" s="11">
        <f>MAX(0,C246*$C$231/12)</f>
        <v/>
      </c>
      <c r="E246" s="11">
        <f>MAX(0,MIN(C246,$C$230-D246))</f>
        <v/>
      </c>
      <c r="F246" s="11">
        <f>MAX(0,C246-E246)</f>
        <v/>
      </c>
    </row>
    <row r="247">
      <c r="A247" s="34" t="n">
        <v>12</v>
      </c>
      <c r="B247" s="13" t="n">
        <v>46356</v>
      </c>
      <c r="C247" s="11">
        <f>F246</f>
        <v/>
      </c>
      <c r="D247" s="11">
        <f>MAX(0,C247*$C$231/12)</f>
        <v/>
      </c>
      <c r="E247" s="11">
        <f>MAX(0,MIN(C247,$C$230-D247))</f>
        <v/>
      </c>
      <c r="F247" s="11">
        <f>MAX(0,C247-E247)</f>
        <v/>
      </c>
    </row>
    <row r="248">
      <c r="A248" s="34" t="n">
        <v>13</v>
      </c>
      <c r="B248" s="13" t="n">
        <v>46386</v>
      </c>
      <c r="C248" s="11">
        <f>F247</f>
        <v/>
      </c>
      <c r="D248" s="11">
        <f>MAX(0,C248*$C$231/12)</f>
        <v/>
      </c>
      <c r="E248" s="11">
        <f>MAX(0,MIN(C248,$C$230-D248))</f>
        <v/>
      </c>
      <c r="F248" s="11">
        <f>MAX(0,C248-E248)</f>
        <v/>
      </c>
    </row>
    <row r="249">
      <c r="A249" s="34" t="n">
        <v>14</v>
      </c>
      <c r="B249" s="13" t="n">
        <v>46417</v>
      </c>
      <c r="C249" s="11">
        <f>F248</f>
        <v/>
      </c>
      <c r="D249" s="11">
        <f>MAX(0,C249*$C$231/12)</f>
        <v/>
      </c>
      <c r="E249" s="11">
        <f>MAX(0,MIN(C249,$C$230-D249))</f>
        <v/>
      </c>
      <c r="F249" s="11">
        <f>MAX(0,C249-E249)</f>
        <v/>
      </c>
    </row>
    <row r="250">
      <c r="A250" s="34" t="n">
        <v>15</v>
      </c>
      <c r="B250" s="13" t="n">
        <v>46446</v>
      </c>
      <c r="C250" s="11">
        <f>F249</f>
        <v/>
      </c>
      <c r="D250" s="11">
        <f>MAX(0,C250*$C$231/12)</f>
        <v/>
      </c>
      <c r="E250" s="11">
        <f>MAX(0,MIN(C250,$C$230-D250))</f>
        <v/>
      </c>
      <c r="F250" s="11">
        <f>MAX(0,C250-E250)</f>
        <v/>
      </c>
    </row>
    <row r="251">
      <c r="A251" s="34" t="n">
        <v>16</v>
      </c>
      <c r="B251" s="13" t="n">
        <v>46476</v>
      </c>
      <c r="C251" s="11">
        <f>F250</f>
        <v/>
      </c>
      <c r="D251" s="11">
        <f>MAX(0,C251*$C$231/12)</f>
        <v/>
      </c>
      <c r="E251" s="11">
        <f>MAX(0,MIN(C251,$C$230-D251))</f>
        <v/>
      </c>
      <c r="F251" s="11">
        <f>MAX(0,C251-E251)</f>
        <v/>
      </c>
    </row>
    <row r="252">
      <c r="A252" s="34" t="n">
        <v>17</v>
      </c>
      <c r="B252" s="13" t="n">
        <v>46507</v>
      </c>
      <c r="C252" s="11">
        <f>F251</f>
        <v/>
      </c>
      <c r="D252" s="11">
        <f>MAX(0,C252*$C$231/12)</f>
        <v/>
      </c>
      <c r="E252" s="11">
        <f>MAX(0,MIN(C252,$C$230-D252))</f>
        <v/>
      </c>
      <c r="F252" s="11">
        <f>MAX(0,C252-E252)</f>
        <v/>
      </c>
    </row>
    <row r="253">
      <c r="A253" s="34" t="n">
        <v>18</v>
      </c>
      <c r="B253" s="13" t="n">
        <v>46537</v>
      </c>
      <c r="C253" s="11">
        <f>F252</f>
        <v/>
      </c>
      <c r="D253" s="11">
        <f>MAX(0,C253*$C$231/12)</f>
        <v/>
      </c>
      <c r="E253" s="11">
        <f>MAX(0,MIN(C253,$C$230-D253))</f>
        <v/>
      </c>
      <c r="F253" s="11">
        <f>MAX(0,C253-E253)</f>
        <v/>
      </c>
    </row>
    <row r="254">
      <c r="A254" s="34" t="n">
        <v>19</v>
      </c>
      <c r="B254" s="13" t="n">
        <v>46568</v>
      </c>
      <c r="C254" s="11">
        <f>F253</f>
        <v/>
      </c>
      <c r="D254" s="11">
        <f>MAX(0,C254*$C$231/12)</f>
        <v/>
      </c>
      <c r="E254" s="11">
        <f>MAX(0,MIN(C254,$C$230-D254))</f>
        <v/>
      </c>
      <c r="F254" s="11">
        <f>MAX(0,C254-E254)</f>
        <v/>
      </c>
    </row>
    <row r="255">
      <c r="A255" s="34" t="n">
        <v>20</v>
      </c>
      <c r="B255" s="13" t="n">
        <v>46598</v>
      </c>
      <c r="C255" s="11">
        <f>F254</f>
        <v/>
      </c>
      <c r="D255" s="11">
        <f>MAX(0,C255*$C$231/12)</f>
        <v/>
      </c>
      <c r="E255" s="11">
        <f>MAX(0,MIN(C255,$C$230-D255))</f>
        <v/>
      </c>
      <c r="F255" s="11">
        <f>MAX(0,C255-E255)</f>
        <v/>
      </c>
    </row>
    <row r="256">
      <c r="A256" s="34" t="n">
        <v>21</v>
      </c>
      <c r="B256" s="13" t="n">
        <v>46629</v>
      </c>
      <c r="C256" s="11">
        <f>F255</f>
        <v/>
      </c>
      <c r="D256" s="11">
        <f>MAX(0,C256*$C$231/12)</f>
        <v/>
      </c>
      <c r="E256" s="11">
        <f>MAX(0,MIN(C256,$C$230-D256))</f>
        <v/>
      </c>
      <c r="F256" s="11">
        <f>MAX(0,C256-E256)</f>
        <v/>
      </c>
    </row>
    <row r="257">
      <c r="A257" s="34" t="n"/>
      <c r="B257" s="41" t="inlineStr">
        <is>
          <t>TOTAL</t>
        </is>
      </c>
      <c r="C257" s="34" t="n"/>
      <c r="D257" s="42">
        <f>SUM(D236:D256)</f>
        <v/>
      </c>
      <c r="E257" s="42">
        <f>SUM(E236:E256)</f>
        <v/>
      </c>
      <c r="F257" s="34" t="n"/>
    </row>
    <row r="259">
      <c r="A259" s="80" t="inlineStr">
        <is>
          <t>LOAN 8: 1 T680 (Nov 2021)</t>
        </is>
      </c>
      <c r="B259" s="81" t="n"/>
      <c r="C259" s="81" t="n"/>
      <c r="D259" s="81" t="n"/>
      <c r="E259" s="81" t="n"/>
      <c r="F259" s="81" t="n"/>
      <c r="G259" s="81" t="n"/>
    </row>
    <row r="260">
      <c r="B260" t="inlineStr">
        <is>
          <t>Loan ID</t>
        </is>
      </c>
      <c r="C260" s="2" t="inlineStr">
        <is>
          <t>05-2959-005-000-00</t>
        </is>
      </c>
    </row>
    <row r="261">
      <c r="B261" t="inlineStr">
        <is>
          <t>Account</t>
        </is>
      </c>
      <c r="C261" s="2" t="inlineStr">
        <is>
          <t>7297237</t>
        </is>
      </c>
    </row>
    <row r="262">
      <c r="B262" t="inlineStr">
        <is>
          <t>Origination Date</t>
        </is>
      </c>
      <c r="C262" s="16" t="n">
        <v>44519</v>
      </c>
    </row>
    <row r="263">
      <c r="B263" t="inlineStr">
        <is>
          <t>Maturity Date</t>
        </is>
      </c>
      <c r="C263" s="16" t="n">
        <v>46633</v>
      </c>
    </row>
    <row r="264">
      <c r="B264" t="inlineStr">
        <is>
          <t>Original Balance</t>
        </is>
      </c>
      <c r="C264" s="3" t="n">
        <v>141875</v>
      </c>
    </row>
    <row r="265">
      <c r="B265" t="inlineStr">
        <is>
          <t>Remaining Balance (Nov 30, 2025)</t>
        </is>
      </c>
      <c r="C265" s="3" t="n">
        <v>49916</v>
      </c>
    </row>
    <row r="266">
      <c r="B266" t="inlineStr">
        <is>
          <t>Monthly Payment</t>
        </is>
      </c>
      <c r="C266" s="3" t="n">
        <v>2361.14</v>
      </c>
    </row>
    <row r="267">
      <c r="B267" t="inlineStr">
        <is>
          <t>Annual Interest Rate</t>
        </is>
      </c>
      <c r="C267" s="4" t="n">
        <v>0.0279</v>
      </c>
    </row>
    <row r="268">
      <c r="B268" s="6" t="inlineStr">
        <is>
          <t>Loan Type</t>
        </is>
      </c>
      <c r="C268" s="6" t="inlineStr">
        <is>
          <t>AMORTIZING</t>
        </is>
      </c>
    </row>
    <row r="269">
      <c r="B269" s="6" t="inlineStr">
        <is>
          <t>Use</t>
        </is>
      </c>
      <c r="C269" s="6" t="inlineStr">
        <is>
          <t>Equipment (Semi trucks)</t>
        </is>
      </c>
    </row>
    <row r="271">
      <c r="A271" s="23" t="inlineStr">
        <is>
          <t>Month #</t>
        </is>
      </c>
      <c r="B271" s="23" t="inlineStr">
        <is>
          <t>Date</t>
        </is>
      </c>
      <c r="C271" s="23" t="inlineStr">
        <is>
          <t>Opening Balance</t>
        </is>
      </c>
      <c r="D271" s="23" t="inlineStr">
        <is>
          <t>Interest</t>
        </is>
      </c>
      <c r="E271" s="23" t="inlineStr">
        <is>
          <t>Principal</t>
        </is>
      </c>
      <c r="F271" s="23" t="inlineStr">
        <is>
          <t>Closing Balance</t>
        </is>
      </c>
    </row>
    <row r="272">
      <c r="A272" s="34" t="n">
        <v>1</v>
      </c>
      <c r="B272" s="13" t="n">
        <v>46021</v>
      </c>
      <c r="C272" s="11">
        <f>$C$265</f>
        <v/>
      </c>
      <c r="D272" s="11">
        <f>MAX(0,C272*$C$267/12)</f>
        <v/>
      </c>
      <c r="E272" s="11">
        <f>MAX(0,MIN(C272,$C$266-D272))</f>
        <v/>
      </c>
      <c r="F272" s="11">
        <f>MAX(0,C272-E272)</f>
        <v/>
      </c>
    </row>
    <row r="273">
      <c r="A273" s="34" t="n">
        <v>2</v>
      </c>
      <c r="B273" s="13" t="n">
        <v>46052</v>
      </c>
      <c r="C273" s="11">
        <f>F272</f>
        <v/>
      </c>
      <c r="D273" s="11">
        <f>MAX(0,C273*$C$267/12)</f>
        <v/>
      </c>
      <c r="E273" s="11">
        <f>MAX(0,MIN(C273,$C$266-D273))</f>
        <v/>
      </c>
      <c r="F273" s="11">
        <f>MAX(0,C273-E273)</f>
        <v/>
      </c>
    </row>
    <row r="274">
      <c r="A274" s="34" t="n">
        <v>3</v>
      </c>
      <c r="B274" s="13" t="n">
        <v>46081</v>
      </c>
      <c r="C274" s="11">
        <f>F273</f>
        <v/>
      </c>
      <c r="D274" s="11">
        <f>MAX(0,C274*$C$267/12)</f>
        <v/>
      </c>
      <c r="E274" s="11">
        <f>MAX(0,MIN(C274,$C$266-D274))</f>
        <v/>
      </c>
      <c r="F274" s="11">
        <f>MAX(0,C274-E274)</f>
        <v/>
      </c>
    </row>
    <row r="275">
      <c r="A275" s="34" t="n">
        <v>4</v>
      </c>
      <c r="B275" s="13" t="n">
        <v>46111</v>
      </c>
      <c r="C275" s="11">
        <f>F274</f>
        <v/>
      </c>
      <c r="D275" s="11">
        <f>MAX(0,C275*$C$267/12)</f>
        <v/>
      </c>
      <c r="E275" s="11">
        <f>MAX(0,MIN(C275,$C$266-D275))</f>
        <v/>
      </c>
      <c r="F275" s="11">
        <f>MAX(0,C275-E275)</f>
        <v/>
      </c>
    </row>
    <row r="276">
      <c r="A276" s="34" t="n">
        <v>5</v>
      </c>
      <c r="B276" s="13" t="n">
        <v>46142</v>
      </c>
      <c r="C276" s="11">
        <f>F275</f>
        <v/>
      </c>
      <c r="D276" s="11">
        <f>MAX(0,C276*$C$267/12)</f>
        <v/>
      </c>
      <c r="E276" s="11">
        <f>MAX(0,MIN(C276,$C$266-D276))</f>
        <v/>
      </c>
      <c r="F276" s="11">
        <f>MAX(0,C276-E276)</f>
        <v/>
      </c>
    </row>
    <row r="277">
      <c r="A277" s="34" t="n">
        <v>6</v>
      </c>
      <c r="B277" s="13" t="n">
        <v>46172</v>
      </c>
      <c r="C277" s="11">
        <f>F276</f>
        <v/>
      </c>
      <c r="D277" s="11">
        <f>MAX(0,C277*$C$267/12)</f>
        <v/>
      </c>
      <c r="E277" s="11">
        <f>MAX(0,MIN(C277,$C$266-D277))</f>
        <v/>
      </c>
      <c r="F277" s="11">
        <f>MAX(0,C277-E277)</f>
        <v/>
      </c>
    </row>
    <row r="278">
      <c r="A278" s="34" t="n">
        <v>7</v>
      </c>
      <c r="B278" s="13" t="n">
        <v>46203</v>
      </c>
      <c r="C278" s="11">
        <f>F277</f>
        <v/>
      </c>
      <c r="D278" s="11">
        <f>MAX(0,C278*$C$267/12)</f>
        <v/>
      </c>
      <c r="E278" s="11">
        <f>MAX(0,MIN(C278,$C$266-D278))</f>
        <v/>
      </c>
      <c r="F278" s="11">
        <f>MAX(0,C278-E278)</f>
        <v/>
      </c>
    </row>
    <row r="279">
      <c r="A279" s="34" t="n">
        <v>8</v>
      </c>
      <c r="B279" s="13" t="n">
        <v>46233</v>
      </c>
      <c r="C279" s="11">
        <f>F278</f>
        <v/>
      </c>
      <c r="D279" s="11">
        <f>MAX(0,C279*$C$267/12)</f>
        <v/>
      </c>
      <c r="E279" s="11">
        <f>MAX(0,MIN(C279,$C$266-D279))</f>
        <v/>
      </c>
      <c r="F279" s="11">
        <f>MAX(0,C279-E279)</f>
        <v/>
      </c>
    </row>
    <row r="280">
      <c r="A280" s="34" t="n">
        <v>9</v>
      </c>
      <c r="B280" s="13" t="n">
        <v>46264</v>
      </c>
      <c r="C280" s="11">
        <f>F279</f>
        <v/>
      </c>
      <c r="D280" s="11">
        <f>MAX(0,C280*$C$267/12)</f>
        <v/>
      </c>
      <c r="E280" s="11">
        <f>MAX(0,MIN(C280,$C$266-D280))</f>
        <v/>
      </c>
      <c r="F280" s="11">
        <f>MAX(0,C280-E280)</f>
        <v/>
      </c>
    </row>
    <row r="281">
      <c r="A281" s="34" t="n">
        <v>10</v>
      </c>
      <c r="B281" s="13" t="n">
        <v>46295</v>
      </c>
      <c r="C281" s="11">
        <f>F280</f>
        <v/>
      </c>
      <c r="D281" s="11">
        <f>MAX(0,C281*$C$267/12)</f>
        <v/>
      </c>
      <c r="E281" s="11">
        <f>MAX(0,MIN(C281,$C$266-D281))</f>
        <v/>
      </c>
      <c r="F281" s="11">
        <f>MAX(0,C281-E281)</f>
        <v/>
      </c>
    </row>
    <row r="282">
      <c r="A282" s="34" t="n">
        <v>11</v>
      </c>
      <c r="B282" s="13" t="n">
        <v>46325</v>
      </c>
      <c r="C282" s="11">
        <f>F281</f>
        <v/>
      </c>
      <c r="D282" s="11">
        <f>MAX(0,C282*$C$267/12)</f>
        <v/>
      </c>
      <c r="E282" s="11">
        <f>MAX(0,MIN(C282,$C$266-D282))</f>
        <v/>
      </c>
      <c r="F282" s="11">
        <f>MAX(0,C282-E282)</f>
        <v/>
      </c>
    </row>
    <row r="283">
      <c r="A283" s="34" t="n">
        <v>12</v>
      </c>
      <c r="B283" s="13" t="n">
        <v>46356</v>
      </c>
      <c r="C283" s="11">
        <f>F282</f>
        <v/>
      </c>
      <c r="D283" s="11">
        <f>MAX(0,C283*$C$267/12)</f>
        <v/>
      </c>
      <c r="E283" s="11">
        <f>MAX(0,MIN(C283,$C$266-D283))</f>
        <v/>
      </c>
      <c r="F283" s="11">
        <f>MAX(0,C283-E283)</f>
        <v/>
      </c>
    </row>
    <row r="284">
      <c r="A284" s="34" t="n">
        <v>13</v>
      </c>
      <c r="B284" s="13" t="n">
        <v>46386</v>
      </c>
      <c r="C284" s="11">
        <f>F283</f>
        <v/>
      </c>
      <c r="D284" s="11">
        <f>MAX(0,C284*$C$267/12)</f>
        <v/>
      </c>
      <c r="E284" s="11">
        <f>MAX(0,MIN(C284,$C$266-D284))</f>
        <v/>
      </c>
      <c r="F284" s="11">
        <f>MAX(0,C284-E284)</f>
        <v/>
      </c>
    </row>
    <row r="285">
      <c r="A285" s="34" t="n">
        <v>14</v>
      </c>
      <c r="B285" s="13" t="n">
        <v>46417</v>
      </c>
      <c r="C285" s="11">
        <f>F284</f>
        <v/>
      </c>
      <c r="D285" s="11">
        <f>MAX(0,C285*$C$267/12)</f>
        <v/>
      </c>
      <c r="E285" s="11">
        <f>MAX(0,MIN(C285,$C$266-D285))</f>
        <v/>
      </c>
      <c r="F285" s="11">
        <f>MAX(0,C285-E285)</f>
        <v/>
      </c>
    </row>
    <row r="286">
      <c r="A286" s="34" t="n">
        <v>15</v>
      </c>
      <c r="B286" s="13" t="n">
        <v>46446</v>
      </c>
      <c r="C286" s="11">
        <f>F285</f>
        <v/>
      </c>
      <c r="D286" s="11">
        <f>MAX(0,C286*$C$267/12)</f>
        <v/>
      </c>
      <c r="E286" s="11">
        <f>MAX(0,MIN(C286,$C$266-D286))</f>
        <v/>
      </c>
      <c r="F286" s="11">
        <f>MAX(0,C286-E286)</f>
        <v/>
      </c>
    </row>
    <row r="287">
      <c r="A287" s="34" t="n">
        <v>16</v>
      </c>
      <c r="B287" s="13" t="n">
        <v>46476</v>
      </c>
      <c r="C287" s="11">
        <f>F286</f>
        <v/>
      </c>
      <c r="D287" s="11">
        <f>MAX(0,C287*$C$267/12)</f>
        <v/>
      </c>
      <c r="E287" s="11">
        <f>MAX(0,MIN(C287,$C$266-D287))</f>
        <v/>
      </c>
      <c r="F287" s="11">
        <f>MAX(0,C287-E287)</f>
        <v/>
      </c>
    </row>
    <row r="288">
      <c r="A288" s="34" t="n">
        <v>17</v>
      </c>
      <c r="B288" s="13" t="n">
        <v>46507</v>
      </c>
      <c r="C288" s="11">
        <f>F287</f>
        <v/>
      </c>
      <c r="D288" s="11">
        <f>MAX(0,C288*$C$267/12)</f>
        <v/>
      </c>
      <c r="E288" s="11">
        <f>MAX(0,MIN(C288,$C$266-D288))</f>
        <v/>
      </c>
      <c r="F288" s="11">
        <f>MAX(0,C288-E288)</f>
        <v/>
      </c>
    </row>
    <row r="289">
      <c r="A289" s="34" t="n">
        <v>18</v>
      </c>
      <c r="B289" s="13" t="n">
        <v>46537</v>
      </c>
      <c r="C289" s="11">
        <f>F288</f>
        <v/>
      </c>
      <c r="D289" s="11">
        <f>MAX(0,C289*$C$267/12)</f>
        <v/>
      </c>
      <c r="E289" s="11">
        <f>MAX(0,MIN(C289,$C$266-D289))</f>
        <v/>
      </c>
      <c r="F289" s="11">
        <f>MAX(0,C289-E289)</f>
        <v/>
      </c>
    </row>
    <row r="290">
      <c r="A290" s="34" t="n">
        <v>19</v>
      </c>
      <c r="B290" s="13" t="n">
        <v>46568</v>
      </c>
      <c r="C290" s="11">
        <f>F289</f>
        <v/>
      </c>
      <c r="D290" s="11">
        <f>MAX(0,C290*$C$267/12)</f>
        <v/>
      </c>
      <c r="E290" s="11">
        <f>MAX(0,MIN(C290,$C$266-D290))</f>
        <v/>
      </c>
      <c r="F290" s="11">
        <f>MAX(0,C290-E290)</f>
        <v/>
      </c>
    </row>
    <row r="291">
      <c r="A291" s="34" t="n">
        <v>20</v>
      </c>
      <c r="B291" s="13" t="n">
        <v>46598</v>
      </c>
      <c r="C291" s="11">
        <f>F290</f>
        <v/>
      </c>
      <c r="D291" s="11">
        <f>MAX(0,C291*$C$267/12)</f>
        <v/>
      </c>
      <c r="E291" s="11">
        <f>MAX(0,MIN(C291,$C$266-D291))</f>
        <v/>
      </c>
      <c r="F291" s="11">
        <f>MAX(0,C291-E291)</f>
        <v/>
      </c>
    </row>
    <row r="292">
      <c r="A292" s="34" t="n">
        <v>21</v>
      </c>
      <c r="B292" s="13" t="n">
        <v>46629</v>
      </c>
      <c r="C292" s="11">
        <f>F291</f>
        <v/>
      </c>
      <c r="D292" s="11">
        <f>MAX(0,C292*$C$267/12)</f>
        <v/>
      </c>
      <c r="E292" s="11">
        <f>MAX(0,MIN(C292,$C$266-D292))</f>
        <v/>
      </c>
      <c r="F292" s="11">
        <f>MAX(0,C292-E292)</f>
        <v/>
      </c>
    </row>
    <row r="293">
      <c r="A293" s="34" t="n">
        <v>22</v>
      </c>
      <c r="B293" s="13" t="n">
        <v>46660</v>
      </c>
      <c r="C293" s="11">
        <f>F292</f>
        <v/>
      </c>
      <c r="D293" s="11">
        <f>MAX(0,C293*$C$267/12)</f>
        <v/>
      </c>
      <c r="E293" s="11">
        <f>MAX(0,MIN(C293,$C$266-D293))</f>
        <v/>
      </c>
      <c r="F293" s="11">
        <f>MAX(0,C293-E293)</f>
        <v/>
      </c>
    </row>
    <row r="294">
      <c r="A294" s="34" t="n"/>
      <c r="B294" s="41" t="inlineStr">
        <is>
          <t>TOTAL</t>
        </is>
      </c>
      <c r="C294" s="34" t="n"/>
      <c r="D294" s="42">
        <f>SUM(D272:D293)</f>
        <v/>
      </c>
      <c r="E294" s="42">
        <f>SUM(E272:E293)</f>
        <v/>
      </c>
      <c r="F294" s="34" t="n"/>
    </row>
    <row r="296">
      <c r="A296" s="80" t="inlineStr">
        <is>
          <t>LOAN 9: 2 T680 (Dec 2021)</t>
        </is>
      </c>
      <c r="B296" s="81" t="n"/>
      <c r="C296" s="81" t="n"/>
      <c r="D296" s="81" t="n"/>
      <c r="E296" s="81" t="n"/>
      <c r="F296" s="81" t="n"/>
      <c r="G296" s="81" t="n"/>
    </row>
    <row r="297">
      <c r="B297" t="inlineStr">
        <is>
          <t>Loan ID</t>
        </is>
      </c>
      <c r="C297" s="2" t="inlineStr">
        <is>
          <t>05-2959-006-000-00</t>
        </is>
      </c>
    </row>
    <row r="298">
      <c r="B298" t="inlineStr">
        <is>
          <t>Account</t>
        </is>
      </c>
      <c r="C298" s="2" t="inlineStr">
        <is>
          <t>7301260</t>
        </is>
      </c>
    </row>
    <row r="299">
      <c r="B299" t="inlineStr">
        <is>
          <t>Origination Date</t>
        </is>
      </c>
      <c r="C299" s="16" t="n">
        <v>44537</v>
      </c>
    </row>
    <row r="300">
      <c r="B300" t="inlineStr">
        <is>
          <t>Maturity Date</t>
        </is>
      </c>
      <c r="C300" s="16" t="n">
        <v>46651</v>
      </c>
    </row>
    <row r="301">
      <c r="B301" t="inlineStr">
        <is>
          <t>Original Balance</t>
        </is>
      </c>
      <c r="C301" s="3" t="n">
        <v>283750</v>
      </c>
    </row>
    <row r="302">
      <c r="B302" t="inlineStr">
        <is>
          <t>Remaining Balance (Nov 30, 2025)</t>
        </is>
      </c>
      <c r="C302" s="3" t="n">
        <v>100052</v>
      </c>
    </row>
    <row r="303">
      <c r="B303" t="inlineStr">
        <is>
          <t>Monthly Payment</t>
        </is>
      </c>
      <c r="C303" s="3" t="n">
        <v>4701.06</v>
      </c>
    </row>
    <row r="304">
      <c r="B304" t="inlineStr">
        <is>
          <t>Annual Interest Rate</t>
        </is>
      </c>
      <c r="C304" s="4" t="n">
        <v>0.0279</v>
      </c>
    </row>
    <row r="305">
      <c r="B305" s="6" t="inlineStr">
        <is>
          <t>Loan Type</t>
        </is>
      </c>
      <c r="C305" s="6" t="inlineStr">
        <is>
          <t>AMORTIZING</t>
        </is>
      </c>
    </row>
    <row r="306">
      <c r="B306" s="6" t="inlineStr">
        <is>
          <t>Use</t>
        </is>
      </c>
      <c r="C306" s="6" t="inlineStr">
        <is>
          <t>Equipment (Semi trucks)</t>
        </is>
      </c>
    </row>
    <row r="308">
      <c r="A308" s="23" t="inlineStr">
        <is>
          <t>Month #</t>
        </is>
      </c>
      <c r="B308" s="23" t="inlineStr">
        <is>
          <t>Date</t>
        </is>
      </c>
      <c r="C308" s="23" t="inlineStr">
        <is>
          <t>Opening Balance</t>
        </is>
      </c>
      <c r="D308" s="23" t="inlineStr">
        <is>
          <t>Interest</t>
        </is>
      </c>
      <c r="E308" s="23" t="inlineStr">
        <is>
          <t>Principal</t>
        </is>
      </c>
      <c r="F308" s="23" t="inlineStr">
        <is>
          <t>Closing Balance</t>
        </is>
      </c>
    </row>
    <row r="309">
      <c r="A309" s="34" t="n">
        <v>1</v>
      </c>
      <c r="B309" s="13" t="n">
        <v>46021</v>
      </c>
      <c r="C309" s="11">
        <f>$C$302</f>
        <v/>
      </c>
      <c r="D309" s="11">
        <f>MAX(0,C309*$C$304/12)</f>
        <v/>
      </c>
      <c r="E309" s="11">
        <f>MAX(0,MIN(C309,$C$303-D309))</f>
        <v/>
      </c>
      <c r="F309" s="11">
        <f>MAX(0,C309-E309)</f>
        <v/>
      </c>
    </row>
    <row r="310">
      <c r="A310" s="34" t="n">
        <v>2</v>
      </c>
      <c r="B310" s="13" t="n">
        <v>46052</v>
      </c>
      <c r="C310" s="11">
        <f>F309</f>
        <v/>
      </c>
      <c r="D310" s="11">
        <f>MAX(0,C310*$C$304/12)</f>
        <v/>
      </c>
      <c r="E310" s="11">
        <f>MAX(0,MIN(C310,$C$303-D310))</f>
        <v/>
      </c>
      <c r="F310" s="11">
        <f>MAX(0,C310-E310)</f>
        <v/>
      </c>
    </row>
    <row r="311">
      <c r="A311" s="34" t="n">
        <v>3</v>
      </c>
      <c r="B311" s="13" t="n">
        <v>46081</v>
      </c>
      <c r="C311" s="11">
        <f>F310</f>
        <v/>
      </c>
      <c r="D311" s="11">
        <f>MAX(0,C311*$C$304/12)</f>
        <v/>
      </c>
      <c r="E311" s="11">
        <f>MAX(0,MIN(C311,$C$303-D311))</f>
        <v/>
      </c>
      <c r="F311" s="11">
        <f>MAX(0,C311-E311)</f>
        <v/>
      </c>
    </row>
    <row r="312">
      <c r="A312" s="34" t="n">
        <v>4</v>
      </c>
      <c r="B312" s="13" t="n">
        <v>46111</v>
      </c>
      <c r="C312" s="11">
        <f>F311</f>
        <v/>
      </c>
      <c r="D312" s="11">
        <f>MAX(0,C312*$C$304/12)</f>
        <v/>
      </c>
      <c r="E312" s="11">
        <f>MAX(0,MIN(C312,$C$303-D312))</f>
        <v/>
      </c>
      <c r="F312" s="11">
        <f>MAX(0,C312-E312)</f>
        <v/>
      </c>
    </row>
    <row r="313">
      <c r="A313" s="34" t="n">
        <v>5</v>
      </c>
      <c r="B313" s="13" t="n">
        <v>46142</v>
      </c>
      <c r="C313" s="11">
        <f>F312</f>
        <v/>
      </c>
      <c r="D313" s="11">
        <f>MAX(0,C313*$C$304/12)</f>
        <v/>
      </c>
      <c r="E313" s="11">
        <f>MAX(0,MIN(C313,$C$303-D313))</f>
        <v/>
      </c>
      <c r="F313" s="11">
        <f>MAX(0,C313-E313)</f>
        <v/>
      </c>
    </row>
    <row r="314">
      <c r="A314" s="34" t="n">
        <v>6</v>
      </c>
      <c r="B314" s="13" t="n">
        <v>46172</v>
      </c>
      <c r="C314" s="11">
        <f>F313</f>
        <v/>
      </c>
      <c r="D314" s="11">
        <f>MAX(0,C314*$C$304/12)</f>
        <v/>
      </c>
      <c r="E314" s="11">
        <f>MAX(0,MIN(C314,$C$303-D314))</f>
        <v/>
      </c>
      <c r="F314" s="11">
        <f>MAX(0,C314-E314)</f>
        <v/>
      </c>
    </row>
    <row r="315">
      <c r="A315" s="34" t="n">
        <v>7</v>
      </c>
      <c r="B315" s="13" t="n">
        <v>46203</v>
      </c>
      <c r="C315" s="11">
        <f>F314</f>
        <v/>
      </c>
      <c r="D315" s="11">
        <f>MAX(0,C315*$C$304/12)</f>
        <v/>
      </c>
      <c r="E315" s="11">
        <f>MAX(0,MIN(C315,$C$303-D315))</f>
        <v/>
      </c>
      <c r="F315" s="11">
        <f>MAX(0,C315-E315)</f>
        <v/>
      </c>
    </row>
    <row r="316">
      <c r="A316" s="34" t="n">
        <v>8</v>
      </c>
      <c r="B316" s="13" t="n">
        <v>46233</v>
      </c>
      <c r="C316" s="11">
        <f>F315</f>
        <v/>
      </c>
      <c r="D316" s="11">
        <f>MAX(0,C316*$C$304/12)</f>
        <v/>
      </c>
      <c r="E316" s="11">
        <f>MAX(0,MIN(C316,$C$303-D316))</f>
        <v/>
      </c>
      <c r="F316" s="11">
        <f>MAX(0,C316-E316)</f>
        <v/>
      </c>
    </row>
    <row r="317">
      <c r="A317" s="34" t="n">
        <v>9</v>
      </c>
      <c r="B317" s="13" t="n">
        <v>46264</v>
      </c>
      <c r="C317" s="11">
        <f>F316</f>
        <v/>
      </c>
      <c r="D317" s="11">
        <f>MAX(0,C317*$C$304/12)</f>
        <v/>
      </c>
      <c r="E317" s="11">
        <f>MAX(0,MIN(C317,$C$303-D317))</f>
        <v/>
      </c>
      <c r="F317" s="11">
        <f>MAX(0,C317-E317)</f>
        <v/>
      </c>
    </row>
    <row r="318">
      <c r="A318" s="34" t="n">
        <v>10</v>
      </c>
      <c r="B318" s="13" t="n">
        <v>46295</v>
      </c>
      <c r="C318" s="11">
        <f>F317</f>
        <v/>
      </c>
      <c r="D318" s="11">
        <f>MAX(0,C318*$C$304/12)</f>
        <v/>
      </c>
      <c r="E318" s="11">
        <f>MAX(0,MIN(C318,$C$303-D318))</f>
        <v/>
      </c>
      <c r="F318" s="11">
        <f>MAX(0,C318-E318)</f>
        <v/>
      </c>
    </row>
    <row r="319">
      <c r="A319" s="34" t="n">
        <v>11</v>
      </c>
      <c r="B319" s="13" t="n">
        <v>46325</v>
      </c>
      <c r="C319" s="11">
        <f>F318</f>
        <v/>
      </c>
      <c r="D319" s="11">
        <f>MAX(0,C319*$C$304/12)</f>
        <v/>
      </c>
      <c r="E319" s="11">
        <f>MAX(0,MIN(C319,$C$303-D319))</f>
        <v/>
      </c>
      <c r="F319" s="11">
        <f>MAX(0,C319-E319)</f>
        <v/>
      </c>
    </row>
    <row r="320">
      <c r="A320" s="34" t="n">
        <v>12</v>
      </c>
      <c r="B320" s="13" t="n">
        <v>46356</v>
      </c>
      <c r="C320" s="11">
        <f>F319</f>
        <v/>
      </c>
      <c r="D320" s="11">
        <f>MAX(0,C320*$C$304/12)</f>
        <v/>
      </c>
      <c r="E320" s="11">
        <f>MAX(0,MIN(C320,$C$303-D320))</f>
        <v/>
      </c>
      <c r="F320" s="11">
        <f>MAX(0,C320-E320)</f>
        <v/>
      </c>
    </row>
    <row r="321">
      <c r="A321" s="34" t="n">
        <v>13</v>
      </c>
      <c r="B321" s="13" t="n">
        <v>46386</v>
      </c>
      <c r="C321" s="11">
        <f>F320</f>
        <v/>
      </c>
      <c r="D321" s="11">
        <f>MAX(0,C321*$C$304/12)</f>
        <v/>
      </c>
      <c r="E321" s="11">
        <f>MAX(0,MIN(C321,$C$303-D321))</f>
        <v/>
      </c>
      <c r="F321" s="11">
        <f>MAX(0,C321-E321)</f>
        <v/>
      </c>
    </row>
    <row r="322">
      <c r="A322" s="34" t="n">
        <v>14</v>
      </c>
      <c r="B322" s="13" t="n">
        <v>46417</v>
      </c>
      <c r="C322" s="11">
        <f>F321</f>
        <v/>
      </c>
      <c r="D322" s="11">
        <f>MAX(0,C322*$C$304/12)</f>
        <v/>
      </c>
      <c r="E322" s="11">
        <f>MAX(0,MIN(C322,$C$303-D322))</f>
        <v/>
      </c>
      <c r="F322" s="11">
        <f>MAX(0,C322-E322)</f>
        <v/>
      </c>
    </row>
    <row r="323">
      <c r="A323" s="34" t="n">
        <v>15</v>
      </c>
      <c r="B323" s="13" t="n">
        <v>46446</v>
      </c>
      <c r="C323" s="11">
        <f>F322</f>
        <v/>
      </c>
      <c r="D323" s="11">
        <f>MAX(0,C323*$C$304/12)</f>
        <v/>
      </c>
      <c r="E323" s="11">
        <f>MAX(0,MIN(C323,$C$303-D323))</f>
        <v/>
      </c>
      <c r="F323" s="11">
        <f>MAX(0,C323-E323)</f>
        <v/>
      </c>
    </row>
    <row r="324">
      <c r="A324" s="34" t="n">
        <v>16</v>
      </c>
      <c r="B324" s="13" t="n">
        <v>46476</v>
      </c>
      <c r="C324" s="11">
        <f>F323</f>
        <v/>
      </c>
      <c r="D324" s="11">
        <f>MAX(0,C324*$C$304/12)</f>
        <v/>
      </c>
      <c r="E324" s="11">
        <f>MAX(0,MIN(C324,$C$303-D324))</f>
        <v/>
      </c>
      <c r="F324" s="11">
        <f>MAX(0,C324-E324)</f>
        <v/>
      </c>
    </row>
    <row r="325">
      <c r="A325" s="34" t="n">
        <v>17</v>
      </c>
      <c r="B325" s="13" t="n">
        <v>46507</v>
      </c>
      <c r="C325" s="11">
        <f>F324</f>
        <v/>
      </c>
      <c r="D325" s="11">
        <f>MAX(0,C325*$C$304/12)</f>
        <v/>
      </c>
      <c r="E325" s="11">
        <f>MAX(0,MIN(C325,$C$303-D325))</f>
        <v/>
      </c>
      <c r="F325" s="11">
        <f>MAX(0,C325-E325)</f>
        <v/>
      </c>
    </row>
    <row r="326">
      <c r="A326" s="34" t="n">
        <v>18</v>
      </c>
      <c r="B326" s="13" t="n">
        <v>46537</v>
      </c>
      <c r="C326" s="11">
        <f>F325</f>
        <v/>
      </c>
      <c r="D326" s="11">
        <f>MAX(0,C326*$C$304/12)</f>
        <v/>
      </c>
      <c r="E326" s="11">
        <f>MAX(0,MIN(C326,$C$303-D326))</f>
        <v/>
      </c>
      <c r="F326" s="11">
        <f>MAX(0,C326-E326)</f>
        <v/>
      </c>
    </row>
    <row r="327">
      <c r="A327" s="34" t="n">
        <v>19</v>
      </c>
      <c r="B327" s="13" t="n">
        <v>46568</v>
      </c>
      <c r="C327" s="11">
        <f>F326</f>
        <v/>
      </c>
      <c r="D327" s="11">
        <f>MAX(0,C327*$C$304/12)</f>
        <v/>
      </c>
      <c r="E327" s="11">
        <f>MAX(0,MIN(C327,$C$303-D327))</f>
        <v/>
      </c>
      <c r="F327" s="11">
        <f>MAX(0,C327-E327)</f>
        <v/>
      </c>
    </row>
    <row r="328">
      <c r="A328" s="34" t="n">
        <v>20</v>
      </c>
      <c r="B328" s="13" t="n">
        <v>46598</v>
      </c>
      <c r="C328" s="11">
        <f>F327</f>
        <v/>
      </c>
      <c r="D328" s="11">
        <f>MAX(0,C328*$C$304/12)</f>
        <v/>
      </c>
      <c r="E328" s="11">
        <f>MAX(0,MIN(C328,$C$303-D328))</f>
        <v/>
      </c>
      <c r="F328" s="11">
        <f>MAX(0,C328-E328)</f>
        <v/>
      </c>
    </row>
    <row r="329">
      <c r="A329" s="34" t="n">
        <v>21</v>
      </c>
      <c r="B329" s="13" t="n">
        <v>46629</v>
      </c>
      <c r="C329" s="11">
        <f>F328</f>
        <v/>
      </c>
      <c r="D329" s="11">
        <f>MAX(0,C329*$C$304/12)</f>
        <v/>
      </c>
      <c r="E329" s="11">
        <f>MAX(0,MIN(C329,$C$303-D329))</f>
        <v/>
      </c>
      <c r="F329" s="11">
        <f>MAX(0,C329-E329)</f>
        <v/>
      </c>
    </row>
    <row r="330">
      <c r="A330" s="34" t="n">
        <v>22</v>
      </c>
      <c r="B330" s="13" t="n">
        <v>46660</v>
      </c>
      <c r="C330" s="11">
        <f>F329</f>
        <v/>
      </c>
      <c r="D330" s="11">
        <f>MAX(0,C330*$C$304/12)</f>
        <v/>
      </c>
      <c r="E330" s="11">
        <f>MAX(0,MIN(C330,$C$303-D330))</f>
        <v/>
      </c>
      <c r="F330" s="11">
        <f>MAX(0,C330-E330)</f>
        <v/>
      </c>
    </row>
    <row r="331">
      <c r="A331" s="34" t="n"/>
      <c r="B331" s="41" t="inlineStr">
        <is>
          <t>TOTAL</t>
        </is>
      </c>
      <c r="C331" s="34" t="n"/>
      <c r="D331" s="42">
        <f>SUM(D309:D330)</f>
        <v/>
      </c>
      <c r="E331" s="42">
        <f>SUM(E309:E330)</f>
        <v/>
      </c>
      <c r="F331" s="34" t="n"/>
    </row>
    <row r="333">
      <c r="A333" s="80" t="inlineStr">
        <is>
          <t>LOAN 10: 1 T680 (Dec 2021)</t>
        </is>
      </c>
      <c r="B333" s="81" t="n"/>
      <c r="C333" s="81" t="n"/>
      <c r="D333" s="81" t="n"/>
      <c r="E333" s="81" t="n"/>
      <c r="F333" s="81" t="n"/>
      <c r="G333" s="81" t="n"/>
    </row>
    <row r="334">
      <c r="B334" t="inlineStr">
        <is>
          <t>Loan ID</t>
        </is>
      </c>
      <c r="C334" s="2" t="inlineStr">
        <is>
          <t>05-2959-007-000-00</t>
        </is>
      </c>
    </row>
    <row r="335">
      <c r="B335" t="inlineStr">
        <is>
          <t>Account</t>
        </is>
      </c>
      <c r="C335" s="2" t="inlineStr">
        <is>
          <t>7306111</t>
        </is>
      </c>
    </row>
    <row r="336">
      <c r="B336" t="inlineStr">
        <is>
          <t>Origination Date</t>
        </is>
      </c>
      <c r="C336" s="16" t="n">
        <v>44558</v>
      </c>
    </row>
    <row r="337">
      <c r="B337" t="inlineStr">
        <is>
          <t>Maturity Date</t>
        </is>
      </c>
      <c r="C337" s="16" t="n">
        <v>46670</v>
      </c>
    </row>
    <row r="338">
      <c r="B338" t="inlineStr">
        <is>
          <t>Original Balance</t>
        </is>
      </c>
      <c r="C338" s="3" t="n">
        <v>143250</v>
      </c>
    </row>
    <row r="339">
      <c r="B339" t="inlineStr">
        <is>
          <t>Remaining Balance (Nov 30, 2025)</t>
        </is>
      </c>
      <c r="C339" s="3" t="n">
        <v>52646</v>
      </c>
    </row>
    <row r="340">
      <c r="B340" t="inlineStr">
        <is>
          <t>Monthly Payment</t>
        </is>
      </c>
      <c r="C340" s="3" t="n">
        <v>2383.09</v>
      </c>
    </row>
    <row r="341">
      <c r="B341" t="inlineStr">
        <is>
          <t>Annual Interest Rate</t>
        </is>
      </c>
      <c r="C341" s="4" t="n">
        <v>0.0279</v>
      </c>
    </row>
    <row r="342">
      <c r="B342" s="6" t="inlineStr">
        <is>
          <t>Loan Type</t>
        </is>
      </c>
      <c r="C342" s="6" t="inlineStr">
        <is>
          <t>AMORTIZING</t>
        </is>
      </c>
    </row>
    <row r="343">
      <c r="B343" s="6" t="inlineStr">
        <is>
          <t>Use</t>
        </is>
      </c>
      <c r="C343" s="6" t="inlineStr">
        <is>
          <t>Equipment (Semi trucks)</t>
        </is>
      </c>
    </row>
    <row r="345">
      <c r="A345" s="23" t="inlineStr">
        <is>
          <t>Month #</t>
        </is>
      </c>
      <c r="B345" s="23" t="inlineStr">
        <is>
          <t>Date</t>
        </is>
      </c>
      <c r="C345" s="23" t="inlineStr">
        <is>
          <t>Opening Balance</t>
        </is>
      </c>
      <c r="D345" s="23" t="inlineStr">
        <is>
          <t>Interest</t>
        </is>
      </c>
      <c r="E345" s="23" t="inlineStr">
        <is>
          <t>Principal</t>
        </is>
      </c>
      <c r="F345" s="23" t="inlineStr">
        <is>
          <t>Closing Balance</t>
        </is>
      </c>
    </row>
    <row r="346">
      <c r="A346" s="34" t="n">
        <v>1</v>
      </c>
      <c r="B346" s="13" t="n">
        <v>46021</v>
      </c>
      <c r="C346" s="11">
        <f>$C$339</f>
        <v/>
      </c>
      <c r="D346" s="11">
        <f>MAX(0,C346*$C$341/12)</f>
        <v/>
      </c>
      <c r="E346" s="11">
        <f>MAX(0,MIN(C346,$C$340-D346))</f>
        <v/>
      </c>
      <c r="F346" s="11">
        <f>MAX(0,C346-E346)</f>
        <v/>
      </c>
    </row>
    <row r="347">
      <c r="A347" s="34" t="n">
        <v>2</v>
      </c>
      <c r="B347" s="13" t="n">
        <v>46052</v>
      </c>
      <c r="C347" s="11">
        <f>F346</f>
        <v/>
      </c>
      <c r="D347" s="11">
        <f>MAX(0,C347*$C$341/12)</f>
        <v/>
      </c>
      <c r="E347" s="11">
        <f>MAX(0,MIN(C347,$C$340-D347))</f>
        <v/>
      </c>
      <c r="F347" s="11">
        <f>MAX(0,C347-E347)</f>
        <v/>
      </c>
    </row>
    <row r="348">
      <c r="A348" s="34" t="n">
        <v>3</v>
      </c>
      <c r="B348" s="13" t="n">
        <v>46081</v>
      </c>
      <c r="C348" s="11">
        <f>F347</f>
        <v/>
      </c>
      <c r="D348" s="11">
        <f>MAX(0,C348*$C$341/12)</f>
        <v/>
      </c>
      <c r="E348" s="11">
        <f>MAX(0,MIN(C348,$C$340-D348))</f>
        <v/>
      </c>
      <c r="F348" s="11">
        <f>MAX(0,C348-E348)</f>
        <v/>
      </c>
    </row>
    <row r="349">
      <c r="A349" s="34" t="n">
        <v>4</v>
      </c>
      <c r="B349" s="13" t="n">
        <v>46111</v>
      </c>
      <c r="C349" s="11">
        <f>F348</f>
        <v/>
      </c>
      <c r="D349" s="11">
        <f>MAX(0,C349*$C$341/12)</f>
        <v/>
      </c>
      <c r="E349" s="11">
        <f>MAX(0,MIN(C349,$C$340-D349))</f>
        <v/>
      </c>
      <c r="F349" s="11">
        <f>MAX(0,C349-E349)</f>
        <v/>
      </c>
    </row>
    <row r="350">
      <c r="A350" s="34" t="n">
        <v>5</v>
      </c>
      <c r="B350" s="13" t="n">
        <v>46142</v>
      </c>
      <c r="C350" s="11">
        <f>F349</f>
        <v/>
      </c>
      <c r="D350" s="11">
        <f>MAX(0,C350*$C$341/12)</f>
        <v/>
      </c>
      <c r="E350" s="11">
        <f>MAX(0,MIN(C350,$C$340-D350))</f>
        <v/>
      </c>
      <c r="F350" s="11">
        <f>MAX(0,C350-E350)</f>
        <v/>
      </c>
    </row>
    <row r="351">
      <c r="A351" s="34" t="n">
        <v>6</v>
      </c>
      <c r="B351" s="13" t="n">
        <v>46172</v>
      </c>
      <c r="C351" s="11">
        <f>F350</f>
        <v/>
      </c>
      <c r="D351" s="11">
        <f>MAX(0,C351*$C$341/12)</f>
        <v/>
      </c>
      <c r="E351" s="11">
        <f>MAX(0,MIN(C351,$C$340-D351))</f>
        <v/>
      </c>
      <c r="F351" s="11">
        <f>MAX(0,C351-E351)</f>
        <v/>
      </c>
    </row>
    <row r="352">
      <c r="A352" s="34" t="n">
        <v>7</v>
      </c>
      <c r="B352" s="13" t="n">
        <v>46203</v>
      </c>
      <c r="C352" s="11">
        <f>F351</f>
        <v/>
      </c>
      <c r="D352" s="11">
        <f>MAX(0,C352*$C$341/12)</f>
        <v/>
      </c>
      <c r="E352" s="11">
        <f>MAX(0,MIN(C352,$C$340-D352))</f>
        <v/>
      </c>
      <c r="F352" s="11">
        <f>MAX(0,C352-E352)</f>
        <v/>
      </c>
    </row>
    <row r="353">
      <c r="A353" s="34" t="n">
        <v>8</v>
      </c>
      <c r="B353" s="13" t="n">
        <v>46233</v>
      </c>
      <c r="C353" s="11">
        <f>F352</f>
        <v/>
      </c>
      <c r="D353" s="11">
        <f>MAX(0,C353*$C$341/12)</f>
        <v/>
      </c>
      <c r="E353" s="11">
        <f>MAX(0,MIN(C353,$C$340-D353))</f>
        <v/>
      </c>
      <c r="F353" s="11">
        <f>MAX(0,C353-E353)</f>
        <v/>
      </c>
    </row>
    <row r="354">
      <c r="A354" s="34" t="n">
        <v>9</v>
      </c>
      <c r="B354" s="13" t="n">
        <v>46264</v>
      </c>
      <c r="C354" s="11">
        <f>F353</f>
        <v/>
      </c>
      <c r="D354" s="11">
        <f>MAX(0,C354*$C$341/12)</f>
        <v/>
      </c>
      <c r="E354" s="11">
        <f>MAX(0,MIN(C354,$C$340-D354))</f>
        <v/>
      </c>
      <c r="F354" s="11">
        <f>MAX(0,C354-E354)</f>
        <v/>
      </c>
    </row>
    <row r="355">
      <c r="A355" s="34" t="n">
        <v>10</v>
      </c>
      <c r="B355" s="13" t="n">
        <v>46295</v>
      </c>
      <c r="C355" s="11">
        <f>F354</f>
        <v/>
      </c>
      <c r="D355" s="11">
        <f>MAX(0,C355*$C$341/12)</f>
        <v/>
      </c>
      <c r="E355" s="11">
        <f>MAX(0,MIN(C355,$C$340-D355))</f>
        <v/>
      </c>
      <c r="F355" s="11">
        <f>MAX(0,C355-E355)</f>
        <v/>
      </c>
    </row>
    <row r="356">
      <c r="A356" s="34" t="n">
        <v>11</v>
      </c>
      <c r="B356" s="13" t="n">
        <v>46325</v>
      </c>
      <c r="C356" s="11">
        <f>F355</f>
        <v/>
      </c>
      <c r="D356" s="11">
        <f>MAX(0,C356*$C$341/12)</f>
        <v/>
      </c>
      <c r="E356" s="11">
        <f>MAX(0,MIN(C356,$C$340-D356))</f>
        <v/>
      </c>
      <c r="F356" s="11">
        <f>MAX(0,C356-E356)</f>
        <v/>
      </c>
    </row>
    <row r="357">
      <c r="A357" s="34" t="n">
        <v>12</v>
      </c>
      <c r="B357" s="13" t="n">
        <v>46356</v>
      </c>
      <c r="C357" s="11">
        <f>F356</f>
        <v/>
      </c>
      <c r="D357" s="11">
        <f>MAX(0,C357*$C$341/12)</f>
        <v/>
      </c>
      <c r="E357" s="11">
        <f>MAX(0,MIN(C357,$C$340-D357))</f>
        <v/>
      </c>
      <c r="F357" s="11">
        <f>MAX(0,C357-E357)</f>
        <v/>
      </c>
    </row>
    <row r="358">
      <c r="A358" s="34" t="n">
        <v>13</v>
      </c>
      <c r="B358" s="13" t="n">
        <v>46386</v>
      </c>
      <c r="C358" s="11">
        <f>F357</f>
        <v/>
      </c>
      <c r="D358" s="11">
        <f>MAX(0,C358*$C$341/12)</f>
        <v/>
      </c>
      <c r="E358" s="11">
        <f>MAX(0,MIN(C358,$C$340-D358))</f>
        <v/>
      </c>
      <c r="F358" s="11">
        <f>MAX(0,C358-E358)</f>
        <v/>
      </c>
    </row>
    <row r="359">
      <c r="A359" s="34" t="n">
        <v>14</v>
      </c>
      <c r="B359" s="13" t="n">
        <v>46417</v>
      </c>
      <c r="C359" s="11">
        <f>F358</f>
        <v/>
      </c>
      <c r="D359" s="11">
        <f>MAX(0,C359*$C$341/12)</f>
        <v/>
      </c>
      <c r="E359" s="11">
        <f>MAX(0,MIN(C359,$C$340-D359))</f>
        <v/>
      </c>
      <c r="F359" s="11">
        <f>MAX(0,C359-E359)</f>
        <v/>
      </c>
    </row>
    <row r="360">
      <c r="A360" s="34" t="n">
        <v>15</v>
      </c>
      <c r="B360" s="13" t="n">
        <v>46446</v>
      </c>
      <c r="C360" s="11">
        <f>F359</f>
        <v/>
      </c>
      <c r="D360" s="11">
        <f>MAX(0,C360*$C$341/12)</f>
        <v/>
      </c>
      <c r="E360" s="11">
        <f>MAX(0,MIN(C360,$C$340-D360))</f>
        <v/>
      </c>
      <c r="F360" s="11">
        <f>MAX(0,C360-E360)</f>
        <v/>
      </c>
    </row>
    <row r="361">
      <c r="A361" s="34" t="n">
        <v>16</v>
      </c>
      <c r="B361" s="13" t="n">
        <v>46476</v>
      </c>
      <c r="C361" s="11">
        <f>F360</f>
        <v/>
      </c>
      <c r="D361" s="11">
        <f>MAX(0,C361*$C$341/12)</f>
        <v/>
      </c>
      <c r="E361" s="11">
        <f>MAX(0,MIN(C361,$C$340-D361))</f>
        <v/>
      </c>
      <c r="F361" s="11">
        <f>MAX(0,C361-E361)</f>
        <v/>
      </c>
    </row>
    <row r="362">
      <c r="A362" s="34" t="n">
        <v>17</v>
      </c>
      <c r="B362" s="13" t="n">
        <v>46507</v>
      </c>
      <c r="C362" s="11">
        <f>F361</f>
        <v/>
      </c>
      <c r="D362" s="11">
        <f>MAX(0,C362*$C$341/12)</f>
        <v/>
      </c>
      <c r="E362" s="11">
        <f>MAX(0,MIN(C362,$C$340-D362))</f>
        <v/>
      </c>
      <c r="F362" s="11">
        <f>MAX(0,C362-E362)</f>
        <v/>
      </c>
    </row>
    <row r="363">
      <c r="A363" s="34" t="n">
        <v>18</v>
      </c>
      <c r="B363" s="13" t="n">
        <v>46537</v>
      </c>
      <c r="C363" s="11">
        <f>F362</f>
        <v/>
      </c>
      <c r="D363" s="11">
        <f>MAX(0,C363*$C$341/12)</f>
        <v/>
      </c>
      <c r="E363" s="11">
        <f>MAX(0,MIN(C363,$C$340-D363))</f>
        <v/>
      </c>
      <c r="F363" s="11">
        <f>MAX(0,C363-E363)</f>
        <v/>
      </c>
    </row>
    <row r="364">
      <c r="A364" s="34" t="n">
        <v>19</v>
      </c>
      <c r="B364" s="13" t="n">
        <v>46568</v>
      </c>
      <c r="C364" s="11">
        <f>F363</f>
        <v/>
      </c>
      <c r="D364" s="11">
        <f>MAX(0,C364*$C$341/12)</f>
        <v/>
      </c>
      <c r="E364" s="11">
        <f>MAX(0,MIN(C364,$C$340-D364))</f>
        <v/>
      </c>
      <c r="F364" s="11">
        <f>MAX(0,C364-E364)</f>
        <v/>
      </c>
    </row>
    <row r="365">
      <c r="A365" s="34" t="n">
        <v>20</v>
      </c>
      <c r="B365" s="13" t="n">
        <v>46598</v>
      </c>
      <c r="C365" s="11">
        <f>F364</f>
        <v/>
      </c>
      <c r="D365" s="11">
        <f>MAX(0,C365*$C$341/12)</f>
        <v/>
      </c>
      <c r="E365" s="11">
        <f>MAX(0,MIN(C365,$C$340-D365))</f>
        <v/>
      </c>
      <c r="F365" s="11">
        <f>MAX(0,C365-E365)</f>
        <v/>
      </c>
    </row>
    <row r="366">
      <c r="A366" s="34" t="n">
        <v>21</v>
      </c>
      <c r="B366" s="13" t="n">
        <v>46629</v>
      </c>
      <c r="C366" s="11">
        <f>F365</f>
        <v/>
      </c>
      <c r="D366" s="11">
        <f>MAX(0,C366*$C$341/12)</f>
        <v/>
      </c>
      <c r="E366" s="11">
        <f>MAX(0,MIN(C366,$C$340-D366))</f>
        <v/>
      </c>
      <c r="F366" s="11">
        <f>MAX(0,C366-E366)</f>
        <v/>
      </c>
    </row>
    <row r="367">
      <c r="A367" s="34" t="n">
        <v>22</v>
      </c>
      <c r="B367" s="13" t="n">
        <v>46660</v>
      </c>
      <c r="C367" s="11">
        <f>F366</f>
        <v/>
      </c>
      <c r="D367" s="11">
        <f>MAX(0,C367*$C$341/12)</f>
        <v/>
      </c>
      <c r="E367" s="11">
        <f>MAX(0,MIN(C367,$C$340-D367))</f>
        <v/>
      </c>
      <c r="F367" s="11">
        <f>MAX(0,C367-E367)</f>
        <v/>
      </c>
    </row>
    <row r="368">
      <c r="A368" s="34" t="n">
        <v>23</v>
      </c>
      <c r="B368" s="13" t="n">
        <v>46690</v>
      </c>
      <c r="C368" s="11">
        <f>F367</f>
        <v/>
      </c>
      <c r="D368" s="11">
        <f>MAX(0,C368*$C$341/12)</f>
        <v/>
      </c>
      <c r="E368" s="11">
        <f>MAX(0,MIN(C368,$C$340-D368))</f>
        <v/>
      </c>
      <c r="F368" s="11">
        <f>MAX(0,C368-E368)</f>
        <v/>
      </c>
    </row>
    <row r="369">
      <c r="A369" s="34" t="n"/>
      <c r="B369" s="41" t="inlineStr">
        <is>
          <t>TOTAL</t>
        </is>
      </c>
      <c r="C369" s="34" t="n"/>
      <c r="D369" s="42">
        <f>SUM(D346:D368)</f>
        <v/>
      </c>
      <c r="E369" s="42">
        <f>SUM(E346:E368)</f>
        <v/>
      </c>
      <c r="F369" s="34" t="n"/>
    </row>
    <row r="371">
      <c r="A371" s="80" t="inlineStr">
        <is>
          <t>LOAN 11: 5 T680 (Sept 2022)</t>
        </is>
      </c>
      <c r="B371" s="81" t="n"/>
      <c r="C371" s="81" t="n"/>
      <c r="D371" s="81" t="n"/>
      <c r="E371" s="81" t="n"/>
      <c r="F371" s="81" t="n"/>
      <c r="G371" s="81" t="n"/>
    </row>
    <row r="372">
      <c r="B372" t="inlineStr">
        <is>
          <t>Loan ID</t>
        </is>
      </c>
      <c r="C372" s="2" t="inlineStr">
        <is>
          <t>05-2959-008-000-00</t>
        </is>
      </c>
    </row>
    <row r="373">
      <c r="B373" t="inlineStr">
        <is>
          <t>Account</t>
        </is>
      </c>
      <c r="C373" s="2" t="inlineStr">
        <is>
          <t>7368954</t>
        </is>
      </c>
    </row>
    <row r="374">
      <c r="B374" t="inlineStr">
        <is>
          <t>Origination Date</t>
        </is>
      </c>
      <c r="C374" s="16" t="n">
        <v>44827</v>
      </c>
    </row>
    <row r="375">
      <c r="B375" t="inlineStr">
        <is>
          <t>Maturity Date</t>
        </is>
      </c>
      <c r="C375" s="16" t="n">
        <v>46941</v>
      </c>
    </row>
    <row r="376">
      <c r="B376" t="inlineStr">
        <is>
          <t>Original Balance</t>
        </is>
      </c>
      <c r="C376" s="3" t="n">
        <v>800175</v>
      </c>
    </row>
    <row r="377">
      <c r="B377" t="inlineStr">
        <is>
          <t>Remaining Balance (Nov 30, 2025)</t>
        </is>
      </c>
      <c r="C377" s="3" t="n">
        <v>413982</v>
      </c>
    </row>
    <row r="378">
      <c r="B378" t="inlineStr">
        <is>
          <t>Monthly Payment</t>
        </is>
      </c>
      <c r="C378" s="3" t="n">
        <v>14084.55</v>
      </c>
    </row>
    <row r="379">
      <c r="B379" t="inlineStr">
        <is>
          <t>Annual Interest Rate</t>
        </is>
      </c>
      <c r="C379" s="4" t="n">
        <v>0.0494</v>
      </c>
    </row>
    <row r="380">
      <c r="B380" s="6" t="inlineStr">
        <is>
          <t>Loan Type</t>
        </is>
      </c>
      <c r="C380" s="6" t="inlineStr">
        <is>
          <t>AMORTIZING</t>
        </is>
      </c>
    </row>
    <row r="381">
      <c r="B381" s="6" t="inlineStr">
        <is>
          <t>Use</t>
        </is>
      </c>
      <c r="C381" s="6" t="inlineStr">
        <is>
          <t>Equipment (Semi trucks)</t>
        </is>
      </c>
    </row>
    <row r="383">
      <c r="A383" s="23" t="inlineStr">
        <is>
          <t>Month #</t>
        </is>
      </c>
      <c r="B383" s="23" t="inlineStr">
        <is>
          <t>Date</t>
        </is>
      </c>
      <c r="C383" s="23" t="inlineStr">
        <is>
          <t>Opening Balance</t>
        </is>
      </c>
      <c r="D383" s="23" t="inlineStr">
        <is>
          <t>Interest</t>
        </is>
      </c>
      <c r="E383" s="23" t="inlineStr">
        <is>
          <t>Principal</t>
        </is>
      </c>
      <c r="F383" s="23" t="inlineStr">
        <is>
          <t>Closing Balance</t>
        </is>
      </c>
    </row>
    <row r="384">
      <c r="A384" s="34" t="n">
        <v>1</v>
      </c>
      <c r="B384" s="13" t="n">
        <v>46021</v>
      </c>
      <c r="C384" s="11">
        <f>$C$377</f>
        <v/>
      </c>
      <c r="D384" s="11">
        <f>MAX(0,C384*$C$379/12)</f>
        <v/>
      </c>
      <c r="E384" s="11">
        <f>MAX(0,MIN(C384,$C$378-D384))</f>
        <v/>
      </c>
      <c r="F384" s="11">
        <f>MAX(0,C384-E384)</f>
        <v/>
      </c>
    </row>
    <row r="385">
      <c r="A385" s="34" t="n">
        <v>2</v>
      </c>
      <c r="B385" s="13" t="n">
        <v>46052</v>
      </c>
      <c r="C385" s="11">
        <f>F384</f>
        <v/>
      </c>
      <c r="D385" s="11">
        <f>MAX(0,C385*$C$379/12)</f>
        <v/>
      </c>
      <c r="E385" s="11">
        <f>MAX(0,MIN(C385,$C$378-D385))</f>
        <v/>
      </c>
      <c r="F385" s="11">
        <f>MAX(0,C385-E385)</f>
        <v/>
      </c>
    </row>
    <row r="386">
      <c r="A386" s="34" t="n">
        <v>3</v>
      </c>
      <c r="B386" s="13" t="n">
        <v>46081</v>
      </c>
      <c r="C386" s="11">
        <f>F385</f>
        <v/>
      </c>
      <c r="D386" s="11">
        <f>MAX(0,C386*$C$379/12)</f>
        <v/>
      </c>
      <c r="E386" s="11">
        <f>MAX(0,MIN(C386,$C$378-D386))</f>
        <v/>
      </c>
      <c r="F386" s="11">
        <f>MAX(0,C386-E386)</f>
        <v/>
      </c>
    </row>
    <row r="387">
      <c r="A387" s="34" t="n">
        <v>4</v>
      </c>
      <c r="B387" s="13" t="n">
        <v>46111</v>
      </c>
      <c r="C387" s="11">
        <f>F386</f>
        <v/>
      </c>
      <c r="D387" s="11">
        <f>MAX(0,C387*$C$379/12)</f>
        <v/>
      </c>
      <c r="E387" s="11">
        <f>MAX(0,MIN(C387,$C$378-D387))</f>
        <v/>
      </c>
      <c r="F387" s="11">
        <f>MAX(0,C387-E387)</f>
        <v/>
      </c>
    </row>
    <row r="388">
      <c r="A388" s="34" t="n">
        <v>5</v>
      </c>
      <c r="B388" s="13" t="n">
        <v>46142</v>
      </c>
      <c r="C388" s="11">
        <f>F387</f>
        <v/>
      </c>
      <c r="D388" s="11">
        <f>MAX(0,C388*$C$379/12)</f>
        <v/>
      </c>
      <c r="E388" s="11">
        <f>MAX(0,MIN(C388,$C$378-D388))</f>
        <v/>
      </c>
      <c r="F388" s="11">
        <f>MAX(0,C388-E388)</f>
        <v/>
      </c>
    </row>
    <row r="389">
      <c r="A389" s="34" t="n">
        <v>6</v>
      </c>
      <c r="B389" s="13" t="n">
        <v>46172</v>
      </c>
      <c r="C389" s="11">
        <f>F388</f>
        <v/>
      </c>
      <c r="D389" s="11">
        <f>MAX(0,C389*$C$379/12)</f>
        <v/>
      </c>
      <c r="E389" s="11">
        <f>MAX(0,MIN(C389,$C$378-D389))</f>
        <v/>
      </c>
      <c r="F389" s="11">
        <f>MAX(0,C389-E389)</f>
        <v/>
      </c>
    </row>
    <row r="390">
      <c r="A390" s="34" t="n">
        <v>7</v>
      </c>
      <c r="B390" s="13" t="n">
        <v>46203</v>
      </c>
      <c r="C390" s="11">
        <f>F389</f>
        <v/>
      </c>
      <c r="D390" s="11">
        <f>MAX(0,C390*$C$379/12)</f>
        <v/>
      </c>
      <c r="E390" s="11">
        <f>MAX(0,MIN(C390,$C$378-D390))</f>
        <v/>
      </c>
      <c r="F390" s="11">
        <f>MAX(0,C390-E390)</f>
        <v/>
      </c>
    </row>
    <row r="391">
      <c r="A391" s="34" t="n">
        <v>8</v>
      </c>
      <c r="B391" s="13" t="n">
        <v>46233</v>
      </c>
      <c r="C391" s="11">
        <f>F390</f>
        <v/>
      </c>
      <c r="D391" s="11">
        <f>MAX(0,C391*$C$379/12)</f>
        <v/>
      </c>
      <c r="E391" s="11">
        <f>MAX(0,MIN(C391,$C$378-D391))</f>
        <v/>
      </c>
      <c r="F391" s="11">
        <f>MAX(0,C391-E391)</f>
        <v/>
      </c>
    </row>
    <row r="392">
      <c r="A392" s="34" t="n">
        <v>9</v>
      </c>
      <c r="B392" s="13" t="n">
        <v>46264</v>
      </c>
      <c r="C392" s="11">
        <f>F391</f>
        <v/>
      </c>
      <c r="D392" s="11">
        <f>MAX(0,C392*$C$379/12)</f>
        <v/>
      </c>
      <c r="E392" s="11">
        <f>MAX(0,MIN(C392,$C$378-D392))</f>
        <v/>
      </c>
      <c r="F392" s="11">
        <f>MAX(0,C392-E392)</f>
        <v/>
      </c>
    </row>
    <row r="393">
      <c r="A393" s="34" t="n">
        <v>10</v>
      </c>
      <c r="B393" s="13" t="n">
        <v>46295</v>
      </c>
      <c r="C393" s="11">
        <f>F392</f>
        <v/>
      </c>
      <c r="D393" s="11">
        <f>MAX(0,C393*$C$379/12)</f>
        <v/>
      </c>
      <c r="E393" s="11">
        <f>MAX(0,MIN(C393,$C$378-D393))</f>
        <v/>
      </c>
      <c r="F393" s="11">
        <f>MAX(0,C393-E393)</f>
        <v/>
      </c>
    </row>
    <row r="394">
      <c r="A394" s="34" t="n">
        <v>11</v>
      </c>
      <c r="B394" s="13" t="n">
        <v>46325</v>
      </c>
      <c r="C394" s="11">
        <f>F393</f>
        <v/>
      </c>
      <c r="D394" s="11">
        <f>MAX(0,C394*$C$379/12)</f>
        <v/>
      </c>
      <c r="E394" s="11">
        <f>MAX(0,MIN(C394,$C$378-D394))</f>
        <v/>
      </c>
      <c r="F394" s="11">
        <f>MAX(0,C394-E394)</f>
        <v/>
      </c>
    </row>
    <row r="395">
      <c r="A395" s="34" t="n">
        <v>12</v>
      </c>
      <c r="B395" s="13" t="n">
        <v>46356</v>
      </c>
      <c r="C395" s="11">
        <f>F394</f>
        <v/>
      </c>
      <c r="D395" s="11">
        <f>MAX(0,C395*$C$379/12)</f>
        <v/>
      </c>
      <c r="E395" s="11">
        <f>MAX(0,MIN(C395,$C$378-D395))</f>
        <v/>
      </c>
      <c r="F395" s="11">
        <f>MAX(0,C395-E395)</f>
        <v/>
      </c>
    </row>
    <row r="396">
      <c r="A396" s="34" t="n">
        <v>13</v>
      </c>
      <c r="B396" s="13" t="n">
        <v>46386</v>
      </c>
      <c r="C396" s="11">
        <f>F395</f>
        <v/>
      </c>
      <c r="D396" s="11">
        <f>MAX(0,C396*$C$379/12)</f>
        <v/>
      </c>
      <c r="E396" s="11">
        <f>MAX(0,MIN(C396,$C$378-D396))</f>
        <v/>
      </c>
      <c r="F396" s="11">
        <f>MAX(0,C396-E396)</f>
        <v/>
      </c>
    </row>
    <row r="397">
      <c r="A397" s="34" t="n">
        <v>14</v>
      </c>
      <c r="B397" s="13" t="n">
        <v>46417</v>
      </c>
      <c r="C397" s="11">
        <f>F396</f>
        <v/>
      </c>
      <c r="D397" s="11">
        <f>MAX(0,C397*$C$379/12)</f>
        <v/>
      </c>
      <c r="E397" s="11">
        <f>MAX(0,MIN(C397,$C$378-D397))</f>
        <v/>
      </c>
      <c r="F397" s="11">
        <f>MAX(0,C397-E397)</f>
        <v/>
      </c>
    </row>
    <row r="398">
      <c r="A398" s="34" t="n">
        <v>15</v>
      </c>
      <c r="B398" s="13" t="n">
        <v>46446</v>
      </c>
      <c r="C398" s="11">
        <f>F397</f>
        <v/>
      </c>
      <c r="D398" s="11">
        <f>MAX(0,C398*$C$379/12)</f>
        <v/>
      </c>
      <c r="E398" s="11">
        <f>MAX(0,MIN(C398,$C$378-D398))</f>
        <v/>
      </c>
      <c r="F398" s="11">
        <f>MAX(0,C398-E398)</f>
        <v/>
      </c>
    </row>
    <row r="399">
      <c r="A399" s="34" t="n">
        <v>16</v>
      </c>
      <c r="B399" s="13" t="n">
        <v>46476</v>
      </c>
      <c r="C399" s="11">
        <f>F398</f>
        <v/>
      </c>
      <c r="D399" s="11">
        <f>MAX(0,C399*$C$379/12)</f>
        <v/>
      </c>
      <c r="E399" s="11">
        <f>MAX(0,MIN(C399,$C$378-D399))</f>
        <v/>
      </c>
      <c r="F399" s="11">
        <f>MAX(0,C399-E399)</f>
        <v/>
      </c>
    </row>
    <row r="400">
      <c r="A400" s="34" t="n">
        <v>17</v>
      </c>
      <c r="B400" s="13" t="n">
        <v>46507</v>
      </c>
      <c r="C400" s="11">
        <f>F399</f>
        <v/>
      </c>
      <c r="D400" s="11">
        <f>MAX(0,C400*$C$379/12)</f>
        <v/>
      </c>
      <c r="E400" s="11">
        <f>MAX(0,MIN(C400,$C$378-D400))</f>
        <v/>
      </c>
      <c r="F400" s="11">
        <f>MAX(0,C400-E400)</f>
        <v/>
      </c>
    </row>
    <row r="401">
      <c r="A401" s="34" t="n">
        <v>18</v>
      </c>
      <c r="B401" s="13" t="n">
        <v>46537</v>
      </c>
      <c r="C401" s="11">
        <f>F400</f>
        <v/>
      </c>
      <c r="D401" s="11">
        <f>MAX(0,C401*$C$379/12)</f>
        <v/>
      </c>
      <c r="E401" s="11">
        <f>MAX(0,MIN(C401,$C$378-D401))</f>
        <v/>
      </c>
      <c r="F401" s="11">
        <f>MAX(0,C401-E401)</f>
        <v/>
      </c>
    </row>
    <row r="402">
      <c r="A402" s="34" t="n">
        <v>19</v>
      </c>
      <c r="B402" s="13" t="n">
        <v>46568</v>
      </c>
      <c r="C402" s="11">
        <f>F401</f>
        <v/>
      </c>
      <c r="D402" s="11">
        <f>MAX(0,C402*$C$379/12)</f>
        <v/>
      </c>
      <c r="E402" s="11">
        <f>MAX(0,MIN(C402,$C$378-D402))</f>
        <v/>
      </c>
      <c r="F402" s="11">
        <f>MAX(0,C402-E402)</f>
        <v/>
      </c>
    </row>
    <row r="403">
      <c r="A403" s="34" t="n">
        <v>20</v>
      </c>
      <c r="B403" s="13" t="n">
        <v>46598</v>
      </c>
      <c r="C403" s="11">
        <f>F402</f>
        <v/>
      </c>
      <c r="D403" s="11">
        <f>MAX(0,C403*$C$379/12)</f>
        <v/>
      </c>
      <c r="E403" s="11">
        <f>MAX(0,MIN(C403,$C$378-D403))</f>
        <v/>
      </c>
      <c r="F403" s="11">
        <f>MAX(0,C403-E403)</f>
        <v/>
      </c>
    </row>
    <row r="404">
      <c r="A404" s="34" t="n">
        <v>21</v>
      </c>
      <c r="B404" s="13" t="n">
        <v>46629</v>
      </c>
      <c r="C404" s="11">
        <f>F403</f>
        <v/>
      </c>
      <c r="D404" s="11">
        <f>MAX(0,C404*$C$379/12)</f>
        <v/>
      </c>
      <c r="E404" s="11">
        <f>MAX(0,MIN(C404,$C$378-D404))</f>
        <v/>
      </c>
      <c r="F404" s="11">
        <f>MAX(0,C404-E404)</f>
        <v/>
      </c>
    </row>
    <row r="405">
      <c r="A405" s="34" t="n">
        <v>22</v>
      </c>
      <c r="B405" s="13" t="n">
        <v>46660</v>
      </c>
      <c r="C405" s="11">
        <f>F404</f>
        <v/>
      </c>
      <c r="D405" s="11">
        <f>MAX(0,C405*$C$379/12)</f>
        <v/>
      </c>
      <c r="E405" s="11">
        <f>MAX(0,MIN(C405,$C$378-D405))</f>
        <v/>
      </c>
      <c r="F405" s="11">
        <f>MAX(0,C405-E405)</f>
        <v/>
      </c>
    </row>
    <row r="406">
      <c r="A406" s="34" t="n">
        <v>23</v>
      </c>
      <c r="B406" s="13" t="n">
        <v>46690</v>
      </c>
      <c r="C406" s="11">
        <f>F405</f>
        <v/>
      </c>
      <c r="D406" s="11">
        <f>MAX(0,C406*$C$379/12)</f>
        <v/>
      </c>
      <c r="E406" s="11">
        <f>MAX(0,MIN(C406,$C$378-D406))</f>
        <v/>
      </c>
      <c r="F406" s="11">
        <f>MAX(0,C406-E406)</f>
        <v/>
      </c>
    </row>
    <row r="407">
      <c r="A407" s="34" t="n">
        <v>24</v>
      </c>
      <c r="B407" s="13" t="n">
        <v>46721</v>
      </c>
      <c r="C407" s="11">
        <f>F406</f>
        <v/>
      </c>
      <c r="D407" s="11">
        <f>MAX(0,C407*$C$379/12)</f>
        <v/>
      </c>
      <c r="E407" s="11">
        <f>MAX(0,MIN(C407,$C$378-D407))</f>
        <v/>
      </c>
      <c r="F407" s="11">
        <f>MAX(0,C407-E407)</f>
        <v/>
      </c>
    </row>
    <row r="408">
      <c r="A408" s="34" t="n">
        <v>25</v>
      </c>
      <c r="B408" s="13" t="n">
        <v>46751</v>
      </c>
      <c r="C408" s="11">
        <f>F407</f>
        <v/>
      </c>
      <c r="D408" s="11">
        <f>MAX(0,C408*$C$379/12)</f>
        <v/>
      </c>
      <c r="E408" s="11">
        <f>MAX(0,MIN(C408,$C$378-D408))</f>
        <v/>
      </c>
      <c r="F408" s="11">
        <f>MAX(0,C408-E408)</f>
        <v/>
      </c>
    </row>
    <row r="409">
      <c r="A409" s="34" t="n">
        <v>26</v>
      </c>
      <c r="B409" s="13" t="n">
        <v>46782</v>
      </c>
      <c r="C409" s="11">
        <f>F408</f>
        <v/>
      </c>
      <c r="D409" s="11">
        <f>MAX(0,C409*$C$379/12)</f>
        <v/>
      </c>
      <c r="E409" s="11">
        <f>MAX(0,MIN(C409,$C$378-D409))</f>
        <v/>
      </c>
      <c r="F409" s="11">
        <f>MAX(0,C409-E409)</f>
        <v/>
      </c>
    </row>
    <row r="410">
      <c r="A410" s="34" t="n">
        <v>27</v>
      </c>
      <c r="B410" s="13" t="n">
        <v>46812</v>
      </c>
      <c r="C410" s="11">
        <f>F409</f>
        <v/>
      </c>
      <c r="D410" s="11">
        <f>MAX(0,C410*$C$379/12)</f>
        <v/>
      </c>
      <c r="E410" s="11">
        <f>MAX(0,MIN(C410,$C$378-D410))</f>
        <v/>
      </c>
      <c r="F410" s="11">
        <f>MAX(0,C410-E410)</f>
        <v/>
      </c>
    </row>
    <row r="411">
      <c r="A411" s="34" t="n">
        <v>28</v>
      </c>
      <c r="B411" s="13" t="n">
        <v>46842</v>
      </c>
      <c r="C411" s="11">
        <f>F410</f>
        <v/>
      </c>
      <c r="D411" s="11">
        <f>MAX(0,C411*$C$379/12)</f>
        <v/>
      </c>
      <c r="E411" s="11">
        <f>MAX(0,MIN(C411,$C$378-D411))</f>
        <v/>
      </c>
      <c r="F411" s="11">
        <f>MAX(0,C411-E411)</f>
        <v/>
      </c>
    </row>
    <row r="412">
      <c r="A412" s="34" t="n">
        <v>29</v>
      </c>
      <c r="B412" s="13" t="n">
        <v>46873</v>
      </c>
      <c r="C412" s="11">
        <f>F411</f>
        <v/>
      </c>
      <c r="D412" s="11">
        <f>MAX(0,C412*$C$379/12)</f>
        <v/>
      </c>
      <c r="E412" s="11">
        <f>MAX(0,MIN(C412,$C$378-D412))</f>
        <v/>
      </c>
      <c r="F412" s="11">
        <f>MAX(0,C412-E412)</f>
        <v/>
      </c>
    </row>
    <row r="413">
      <c r="A413" s="34" t="n">
        <v>30</v>
      </c>
      <c r="B413" s="13" t="n">
        <v>46903</v>
      </c>
      <c r="C413" s="11">
        <f>F412</f>
        <v/>
      </c>
      <c r="D413" s="11">
        <f>MAX(0,C413*$C$379/12)</f>
        <v/>
      </c>
      <c r="E413" s="11">
        <f>MAX(0,MIN(C413,$C$378-D413))</f>
        <v/>
      </c>
      <c r="F413" s="11">
        <f>MAX(0,C413-E413)</f>
        <v/>
      </c>
    </row>
    <row r="414">
      <c r="A414" s="34" t="n">
        <v>31</v>
      </c>
      <c r="B414" s="13" t="n">
        <v>46934</v>
      </c>
      <c r="C414" s="11">
        <f>F413</f>
        <v/>
      </c>
      <c r="D414" s="11">
        <f>MAX(0,C414*$C$379/12)</f>
        <v/>
      </c>
      <c r="E414" s="11">
        <f>MAX(0,MIN(C414,$C$378-D414))</f>
        <v/>
      </c>
      <c r="F414" s="11">
        <f>MAX(0,C414-E414)</f>
        <v/>
      </c>
    </row>
    <row r="415">
      <c r="A415" s="34" t="n">
        <v>32</v>
      </c>
      <c r="B415" s="13" t="n">
        <v>46964</v>
      </c>
      <c r="C415" s="11">
        <f>F414</f>
        <v/>
      </c>
      <c r="D415" s="11">
        <f>MAX(0,C415*$C$379/12)</f>
        <v/>
      </c>
      <c r="E415" s="11">
        <f>MAX(0,MIN(C415,$C$378-D415))</f>
        <v/>
      </c>
      <c r="F415" s="11">
        <f>MAX(0,C415-E415)</f>
        <v/>
      </c>
    </row>
    <row r="416">
      <c r="A416" s="34" t="n"/>
      <c r="B416" s="41" t="inlineStr">
        <is>
          <t>TOTAL</t>
        </is>
      </c>
      <c r="C416" s="34" t="n"/>
      <c r="D416" s="42">
        <f>SUM(D384:D415)</f>
        <v/>
      </c>
      <c r="E416" s="42">
        <f>SUM(E384:E415)</f>
        <v/>
      </c>
      <c r="F416" s="34" t="n"/>
    </row>
    <row r="418">
      <c r="A418" s="80" t="inlineStr">
        <is>
          <t>LOAN 12: 3 T680 (Oct 2022)</t>
        </is>
      </c>
      <c r="B418" s="81" t="n"/>
      <c r="C418" s="81" t="n"/>
      <c r="D418" s="81" t="n"/>
      <c r="E418" s="81" t="n"/>
      <c r="F418" s="81" t="n"/>
      <c r="G418" s="81" t="n"/>
    </row>
    <row r="419">
      <c r="B419" t="inlineStr">
        <is>
          <t>Loan ID</t>
        </is>
      </c>
      <c r="C419" s="2" t="inlineStr">
        <is>
          <t>05-2959-009-000-00</t>
        </is>
      </c>
    </row>
    <row r="420">
      <c r="B420" t="inlineStr">
        <is>
          <t>Account</t>
        </is>
      </c>
      <c r="C420" s="2" t="inlineStr">
        <is>
          <t>7374077</t>
        </is>
      </c>
    </row>
    <row r="421">
      <c r="B421" t="inlineStr">
        <is>
          <t>Origination Date</t>
        </is>
      </c>
      <c r="C421" s="16" t="n">
        <v>44851</v>
      </c>
    </row>
    <row r="422">
      <c r="B422" t="inlineStr">
        <is>
          <t>Maturity Date</t>
        </is>
      </c>
      <c r="C422" s="16" t="n">
        <v>46966</v>
      </c>
    </row>
    <row r="423">
      <c r="B423" t="inlineStr">
        <is>
          <t>Original Balance</t>
        </is>
      </c>
      <c r="C423" s="3" t="n">
        <v>483105</v>
      </c>
    </row>
    <row r="424">
      <c r="B424" t="inlineStr">
        <is>
          <t>Remaining Balance (Nov 30, 2025)</t>
        </is>
      </c>
      <c r="C424" s="3" t="n">
        <v>257221</v>
      </c>
    </row>
    <row r="425">
      <c r="B425" t="inlineStr">
        <is>
          <t>Monthly Payment</t>
        </is>
      </c>
      <c r="C425" s="3" t="n">
        <v>8510.59</v>
      </c>
    </row>
    <row r="426">
      <c r="B426" t="inlineStr">
        <is>
          <t>Annual Interest Rate</t>
        </is>
      </c>
      <c r="C426" s="4" t="n">
        <v>0.0494</v>
      </c>
    </row>
    <row r="427">
      <c r="B427" s="6" t="inlineStr">
        <is>
          <t>Loan Type</t>
        </is>
      </c>
      <c r="C427" s="6" t="inlineStr">
        <is>
          <t>AMORTIZING</t>
        </is>
      </c>
    </row>
    <row r="428">
      <c r="B428" s="6" t="inlineStr">
        <is>
          <t>Use</t>
        </is>
      </c>
      <c r="C428" s="6" t="inlineStr">
        <is>
          <t>Equipment (Semi trucks)</t>
        </is>
      </c>
    </row>
    <row r="430">
      <c r="A430" s="23" t="inlineStr">
        <is>
          <t>Month #</t>
        </is>
      </c>
      <c r="B430" s="23" t="inlineStr">
        <is>
          <t>Date</t>
        </is>
      </c>
      <c r="C430" s="23" t="inlineStr">
        <is>
          <t>Opening Balance</t>
        </is>
      </c>
      <c r="D430" s="23" t="inlineStr">
        <is>
          <t>Interest</t>
        </is>
      </c>
      <c r="E430" s="23" t="inlineStr">
        <is>
          <t>Principal</t>
        </is>
      </c>
      <c r="F430" s="23" t="inlineStr">
        <is>
          <t>Closing Balance</t>
        </is>
      </c>
    </row>
    <row r="431">
      <c r="A431" s="34" t="n">
        <v>1</v>
      </c>
      <c r="B431" s="13" t="n">
        <v>46021</v>
      </c>
      <c r="C431" s="11">
        <f>$C$424</f>
        <v/>
      </c>
      <c r="D431" s="11">
        <f>MAX(0,C431*$C$426/12)</f>
        <v/>
      </c>
      <c r="E431" s="11">
        <f>MAX(0,MIN(C431,$C$425-D431))</f>
        <v/>
      </c>
      <c r="F431" s="11">
        <f>MAX(0,C431-E431)</f>
        <v/>
      </c>
    </row>
    <row r="432">
      <c r="A432" s="34" t="n">
        <v>2</v>
      </c>
      <c r="B432" s="13" t="n">
        <v>46052</v>
      </c>
      <c r="C432" s="11">
        <f>F431</f>
        <v/>
      </c>
      <c r="D432" s="11">
        <f>MAX(0,C432*$C$426/12)</f>
        <v/>
      </c>
      <c r="E432" s="11">
        <f>MAX(0,MIN(C432,$C$425-D432))</f>
        <v/>
      </c>
      <c r="F432" s="11">
        <f>MAX(0,C432-E432)</f>
        <v/>
      </c>
    </row>
    <row r="433">
      <c r="A433" s="34" t="n">
        <v>3</v>
      </c>
      <c r="B433" s="13" t="n">
        <v>46081</v>
      </c>
      <c r="C433" s="11">
        <f>F432</f>
        <v/>
      </c>
      <c r="D433" s="11">
        <f>MAX(0,C433*$C$426/12)</f>
        <v/>
      </c>
      <c r="E433" s="11">
        <f>MAX(0,MIN(C433,$C$425-D433))</f>
        <v/>
      </c>
      <c r="F433" s="11">
        <f>MAX(0,C433-E433)</f>
        <v/>
      </c>
    </row>
    <row r="434">
      <c r="A434" s="34" t="n">
        <v>4</v>
      </c>
      <c r="B434" s="13" t="n">
        <v>46111</v>
      </c>
      <c r="C434" s="11">
        <f>F433</f>
        <v/>
      </c>
      <c r="D434" s="11">
        <f>MAX(0,C434*$C$426/12)</f>
        <v/>
      </c>
      <c r="E434" s="11">
        <f>MAX(0,MIN(C434,$C$425-D434))</f>
        <v/>
      </c>
      <c r="F434" s="11">
        <f>MAX(0,C434-E434)</f>
        <v/>
      </c>
    </row>
    <row r="435">
      <c r="A435" s="34" t="n">
        <v>5</v>
      </c>
      <c r="B435" s="13" t="n">
        <v>46142</v>
      </c>
      <c r="C435" s="11">
        <f>F434</f>
        <v/>
      </c>
      <c r="D435" s="11">
        <f>MAX(0,C435*$C$426/12)</f>
        <v/>
      </c>
      <c r="E435" s="11">
        <f>MAX(0,MIN(C435,$C$425-D435))</f>
        <v/>
      </c>
      <c r="F435" s="11">
        <f>MAX(0,C435-E435)</f>
        <v/>
      </c>
    </row>
    <row r="436">
      <c r="A436" s="34" t="n">
        <v>6</v>
      </c>
      <c r="B436" s="13" t="n">
        <v>46172</v>
      </c>
      <c r="C436" s="11">
        <f>F435</f>
        <v/>
      </c>
      <c r="D436" s="11">
        <f>MAX(0,C436*$C$426/12)</f>
        <v/>
      </c>
      <c r="E436" s="11">
        <f>MAX(0,MIN(C436,$C$425-D436))</f>
        <v/>
      </c>
      <c r="F436" s="11">
        <f>MAX(0,C436-E436)</f>
        <v/>
      </c>
    </row>
    <row r="437">
      <c r="A437" s="34" t="n">
        <v>7</v>
      </c>
      <c r="B437" s="13" t="n">
        <v>46203</v>
      </c>
      <c r="C437" s="11">
        <f>F436</f>
        <v/>
      </c>
      <c r="D437" s="11">
        <f>MAX(0,C437*$C$426/12)</f>
        <v/>
      </c>
      <c r="E437" s="11">
        <f>MAX(0,MIN(C437,$C$425-D437))</f>
        <v/>
      </c>
      <c r="F437" s="11">
        <f>MAX(0,C437-E437)</f>
        <v/>
      </c>
    </row>
    <row r="438">
      <c r="A438" s="34" t="n">
        <v>8</v>
      </c>
      <c r="B438" s="13" t="n">
        <v>46233</v>
      </c>
      <c r="C438" s="11">
        <f>F437</f>
        <v/>
      </c>
      <c r="D438" s="11">
        <f>MAX(0,C438*$C$426/12)</f>
        <v/>
      </c>
      <c r="E438" s="11">
        <f>MAX(0,MIN(C438,$C$425-D438))</f>
        <v/>
      </c>
      <c r="F438" s="11">
        <f>MAX(0,C438-E438)</f>
        <v/>
      </c>
    </row>
    <row r="439">
      <c r="A439" s="34" t="n">
        <v>9</v>
      </c>
      <c r="B439" s="13" t="n">
        <v>46264</v>
      </c>
      <c r="C439" s="11">
        <f>F438</f>
        <v/>
      </c>
      <c r="D439" s="11">
        <f>MAX(0,C439*$C$426/12)</f>
        <v/>
      </c>
      <c r="E439" s="11">
        <f>MAX(0,MIN(C439,$C$425-D439))</f>
        <v/>
      </c>
      <c r="F439" s="11">
        <f>MAX(0,C439-E439)</f>
        <v/>
      </c>
    </row>
    <row r="440">
      <c r="A440" s="34" t="n">
        <v>10</v>
      </c>
      <c r="B440" s="13" t="n">
        <v>46295</v>
      </c>
      <c r="C440" s="11">
        <f>F439</f>
        <v/>
      </c>
      <c r="D440" s="11">
        <f>MAX(0,C440*$C$426/12)</f>
        <v/>
      </c>
      <c r="E440" s="11">
        <f>MAX(0,MIN(C440,$C$425-D440))</f>
        <v/>
      </c>
      <c r="F440" s="11">
        <f>MAX(0,C440-E440)</f>
        <v/>
      </c>
    </row>
    <row r="441">
      <c r="A441" s="34" t="n">
        <v>11</v>
      </c>
      <c r="B441" s="13" t="n">
        <v>46325</v>
      </c>
      <c r="C441" s="11">
        <f>F440</f>
        <v/>
      </c>
      <c r="D441" s="11">
        <f>MAX(0,C441*$C$426/12)</f>
        <v/>
      </c>
      <c r="E441" s="11">
        <f>MAX(0,MIN(C441,$C$425-D441))</f>
        <v/>
      </c>
      <c r="F441" s="11">
        <f>MAX(0,C441-E441)</f>
        <v/>
      </c>
    </row>
    <row r="442">
      <c r="A442" s="34" t="n">
        <v>12</v>
      </c>
      <c r="B442" s="13" t="n">
        <v>46356</v>
      </c>
      <c r="C442" s="11">
        <f>F441</f>
        <v/>
      </c>
      <c r="D442" s="11">
        <f>MAX(0,C442*$C$426/12)</f>
        <v/>
      </c>
      <c r="E442" s="11">
        <f>MAX(0,MIN(C442,$C$425-D442))</f>
        <v/>
      </c>
      <c r="F442" s="11">
        <f>MAX(0,C442-E442)</f>
        <v/>
      </c>
    </row>
    <row r="443">
      <c r="A443" s="34" t="n">
        <v>13</v>
      </c>
      <c r="B443" s="13" t="n">
        <v>46386</v>
      </c>
      <c r="C443" s="11">
        <f>F442</f>
        <v/>
      </c>
      <c r="D443" s="11">
        <f>MAX(0,C443*$C$426/12)</f>
        <v/>
      </c>
      <c r="E443" s="11">
        <f>MAX(0,MIN(C443,$C$425-D443))</f>
        <v/>
      </c>
      <c r="F443" s="11">
        <f>MAX(0,C443-E443)</f>
        <v/>
      </c>
    </row>
    <row r="444">
      <c r="A444" s="34" t="n">
        <v>14</v>
      </c>
      <c r="B444" s="13" t="n">
        <v>46417</v>
      </c>
      <c r="C444" s="11">
        <f>F443</f>
        <v/>
      </c>
      <c r="D444" s="11">
        <f>MAX(0,C444*$C$426/12)</f>
        <v/>
      </c>
      <c r="E444" s="11">
        <f>MAX(0,MIN(C444,$C$425-D444))</f>
        <v/>
      </c>
      <c r="F444" s="11">
        <f>MAX(0,C444-E444)</f>
        <v/>
      </c>
    </row>
    <row r="445">
      <c r="A445" s="34" t="n">
        <v>15</v>
      </c>
      <c r="B445" s="13" t="n">
        <v>46446</v>
      </c>
      <c r="C445" s="11">
        <f>F444</f>
        <v/>
      </c>
      <c r="D445" s="11">
        <f>MAX(0,C445*$C$426/12)</f>
        <v/>
      </c>
      <c r="E445" s="11">
        <f>MAX(0,MIN(C445,$C$425-D445))</f>
        <v/>
      </c>
      <c r="F445" s="11">
        <f>MAX(0,C445-E445)</f>
        <v/>
      </c>
    </row>
    <row r="446">
      <c r="A446" s="34" t="n">
        <v>16</v>
      </c>
      <c r="B446" s="13" t="n">
        <v>46476</v>
      </c>
      <c r="C446" s="11">
        <f>F445</f>
        <v/>
      </c>
      <c r="D446" s="11">
        <f>MAX(0,C446*$C$426/12)</f>
        <v/>
      </c>
      <c r="E446" s="11">
        <f>MAX(0,MIN(C446,$C$425-D446))</f>
        <v/>
      </c>
      <c r="F446" s="11">
        <f>MAX(0,C446-E446)</f>
        <v/>
      </c>
    </row>
    <row r="447">
      <c r="A447" s="34" t="n">
        <v>17</v>
      </c>
      <c r="B447" s="13" t="n">
        <v>46507</v>
      </c>
      <c r="C447" s="11">
        <f>F446</f>
        <v/>
      </c>
      <c r="D447" s="11">
        <f>MAX(0,C447*$C$426/12)</f>
        <v/>
      </c>
      <c r="E447" s="11">
        <f>MAX(0,MIN(C447,$C$425-D447))</f>
        <v/>
      </c>
      <c r="F447" s="11">
        <f>MAX(0,C447-E447)</f>
        <v/>
      </c>
    </row>
    <row r="448">
      <c r="A448" s="34" t="n">
        <v>18</v>
      </c>
      <c r="B448" s="13" t="n">
        <v>46537</v>
      </c>
      <c r="C448" s="11">
        <f>F447</f>
        <v/>
      </c>
      <c r="D448" s="11">
        <f>MAX(0,C448*$C$426/12)</f>
        <v/>
      </c>
      <c r="E448" s="11">
        <f>MAX(0,MIN(C448,$C$425-D448))</f>
        <v/>
      </c>
      <c r="F448" s="11">
        <f>MAX(0,C448-E448)</f>
        <v/>
      </c>
    </row>
    <row r="449">
      <c r="A449" s="34" t="n">
        <v>19</v>
      </c>
      <c r="B449" s="13" t="n">
        <v>46568</v>
      </c>
      <c r="C449" s="11">
        <f>F448</f>
        <v/>
      </c>
      <c r="D449" s="11">
        <f>MAX(0,C449*$C$426/12)</f>
        <v/>
      </c>
      <c r="E449" s="11">
        <f>MAX(0,MIN(C449,$C$425-D449))</f>
        <v/>
      </c>
      <c r="F449" s="11">
        <f>MAX(0,C449-E449)</f>
        <v/>
      </c>
    </row>
    <row r="450">
      <c r="A450" s="34" t="n">
        <v>20</v>
      </c>
      <c r="B450" s="13" t="n">
        <v>46598</v>
      </c>
      <c r="C450" s="11">
        <f>F449</f>
        <v/>
      </c>
      <c r="D450" s="11">
        <f>MAX(0,C450*$C$426/12)</f>
        <v/>
      </c>
      <c r="E450" s="11">
        <f>MAX(0,MIN(C450,$C$425-D450))</f>
        <v/>
      </c>
      <c r="F450" s="11">
        <f>MAX(0,C450-E450)</f>
        <v/>
      </c>
    </row>
    <row r="451">
      <c r="A451" s="34" t="n">
        <v>21</v>
      </c>
      <c r="B451" s="13" t="n">
        <v>46629</v>
      </c>
      <c r="C451" s="11">
        <f>F450</f>
        <v/>
      </c>
      <c r="D451" s="11">
        <f>MAX(0,C451*$C$426/12)</f>
        <v/>
      </c>
      <c r="E451" s="11">
        <f>MAX(0,MIN(C451,$C$425-D451))</f>
        <v/>
      </c>
      <c r="F451" s="11">
        <f>MAX(0,C451-E451)</f>
        <v/>
      </c>
    </row>
    <row r="452">
      <c r="A452" s="34" t="n">
        <v>22</v>
      </c>
      <c r="B452" s="13" t="n">
        <v>46660</v>
      </c>
      <c r="C452" s="11">
        <f>F451</f>
        <v/>
      </c>
      <c r="D452" s="11">
        <f>MAX(0,C452*$C$426/12)</f>
        <v/>
      </c>
      <c r="E452" s="11">
        <f>MAX(0,MIN(C452,$C$425-D452))</f>
        <v/>
      </c>
      <c r="F452" s="11">
        <f>MAX(0,C452-E452)</f>
        <v/>
      </c>
    </row>
    <row r="453">
      <c r="A453" s="34" t="n">
        <v>23</v>
      </c>
      <c r="B453" s="13" t="n">
        <v>46690</v>
      </c>
      <c r="C453" s="11">
        <f>F452</f>
        <v/>
      </c>
      <c r="D453" s="11">
        <f>MAX(0,C453*$C$426/12)</f>
        <v/>
      </c>
      <c r="E453" s="11">
        <f>MAX(0,MIN(C453,$C$425-D453))</f>
        <v/>
      </c>
      <c r="F453" s="11">
        <f>MAX(0,C453-E453)</f>
        <v/>
      </c>
    </row>
    <row r="454">
      <c r="A454" s="34" t="n">
        <v>24</v>
      </c>
      <c r="B454" s="13" t="n">
        <v>46721</v>
      </c>
      <c r="C454" s="11">
        <f>F453</f>
        <v/>
      </c>
      <c r="D454" s="11">
        <f>MAX(0,C454*$C$426/12)</f>
        <v/>
      </c>
      <c r="E454" s="11">
        <f>MAX(0,MIN(C454,$C$425-D454))</f>
        <v/>
      </c>
      <c r="F454" s="11">
        <f>MAX(0,C454-E454)</f>
        <v/>
      </c>
    </row>
    <row r="455">
      <c r="A455" s="34" t="n">
        <v>25</v>
      </c>
      <c r="B455" s="13" t="n">
        <v>46751</v>
      </c>
      <c r="C455" s="11">
        <f>F454</f>
        <v/>
      </c>
      <c r="D455" s="11">
        <f>MAX(0,C455*$C$426/12)</f>
        <v/>
      </c>
      <c r="E455" s="11">
        <f>MAX(0,MIN(C455,$C$425-D455))</f>
        <v/>
      </c>
      <c r="F455" s="11">
        <f>MAX(0,C455-E455)</f>
        <v/>
      </c>
    </row>
    <row r="456">
      <c r="A456" s="34" t="n">
        <v>26</v>
      </c>
      <c r="B456" s="13" t="n">
        <v>46782</v>
      </c>
      <c r="C456" s="11">
        <f>F455</f>
        <v/>
      </c>
      <c r="D456" s="11">
        <f>MAX(0,C456*$C$426/12)</f>
        <v/>
      </c>
      <c r="E456" s="11">
        <f>MAX(0,MIN(C456,$C$425-D456))</f>
        <v/>
      </c>
      <c r="F456" s="11">
        <f>MAX(0,C456-E456)</f>
        <v/>
      </c>
    </row>
    <row r="457">
      <c r="A457" s="34" t="n">
        <v>27</v>
      </c>
      <c r="B457" s="13" t="n">
        <v>46812</v>
      </c>
      <c r="C457" s="11">
        <f>F456</f>
        <v/>
      </c>
      <c r="D457" s="11">
        <f>MAX(0,C457*$C$426/12)</f>
        <v/>
      </c>
      <c r="E457" s="11">
        <f>MAX(0,MIN(C457,$C$425-D457))</f>
        <v/>
      </c>
      <c r="F457" s="11">
        <f>MAX(0,C457-E457)</f>
        <v/>
      </c>
    </row>
    <row r="458">
      <c r="A458" s="34" t="n">
        <v>28</v>
      </c>
      <c r="B458" s="13" t="n">
        <v>46842</v>
      </c>
      <c r="C458" s="11">
        <f>F457</f>
        <v/>
      </c>
      <c r="D458" s="11">
        <f>MAX(0,C458*$C$426/12)</f>
        <v/>
      </c>
      <c r="E458" s="11">
        <f>MAX(0,MIN(C458,$C$425-D458))</f>
        <v/>
      </c>
      <c r="F458" s="11">
        <f>MAX(0,C458-E458)</f>
        <v/>
      </c>
    </row>
    <row r="459">
      <c r="A459" s="34" t="n">
        <v>29</v>
      </c>
      <c r="B459" s="13" t="n">
        <v>46873</v>
      </c>
      <c r="C459" s="11">
        <f>F458</f>
        <v/>
      </c>
      <c r="D459" s="11">
        <f>MAX(0,C459*$C$426/12)</f>
        <v/>
      </c>
      <c r="E459" s="11">
        <f>MAX(0,MIN(C459,$C$425-D459))</f>
        <v/>
      </c>
      <c r="F459" s="11">
        <f>MAX(0,C459-E459)</f>
        <v/>
      </c>
    </row>
    <row r="460">
      <c r="A460" s="34" t="n">
        <v>30</v>
      </c>
      <c r="B460" s="13" t="n">
        <v>46903</v>
      </c>
      <c r="C460" s="11">
        <f>F459</f>
        <v/>
      </c>
      <c r="D460" s="11">
        <f>MAX(0,C460*$C$426/12)</f>
        <v/>
      </c>
      <c r="E460" s="11">
        <f>MAX(0,MIN(C460,$C$425-D460))</f>
        <v/>
      </c>
      <c r="F460" s="11">
        <f>MAX(0,C460-E460)</f>
        <v/>
      </c>
    </row>
    <row r="461">
      <c r="A461" s="34" t="n">
        <v>31</v>
      </c>
      <c r="B461" s="13" t="n">
        <v>46934</v>
      </c>
      <c r="C461" s="11">
        <f>F460</f>
        <v/>
      </c>
      <c r="D461" s="11">
        <f>MAX(0,C461*$C$426/12)</f>
        <v/>
      </c>
      <c r="E461" s="11">
        <f>MAX(0,MIN(C461,$C$425-D461))</f>
        <v/>
      </c>
      <c r="F461" s="11">
        <f>MAX(0,C461-E461)</f>
        <v/>
      </c>
    </row>
    <row r="462">
      <c r="A462" s="34" t="n">
        <v>32</v>
      </c>
      <c r="B462" s="13" t="n">
        <v>46964</v>
      </c>
      <c r="C462" s="11">
        <f>F461</f>
        <v/>
      </c>
      <c r="D462" s="11">
        <f>MAX(0,C462*$C$426/12)</f>
        <v/>
      </c>
      <c r="E462" s="11">
        <f>MAX(0,MIN(C462,$C$425-D462))</f>
        <v/>
      </c>
      <c r="F462" s="11">
        <f>MAX(0,C462-E462)</f>
        <v/>
      </c>
    </row>
    <row r="463">
      <c r="A463" s="34" t="n">
        <v>33</v>
      </c>
      <c r="B463" s="13" t="n">
        <v>46995</v>
      </c>
      <c r="C463" s="11">
        <f>F462</f>
        <v/>
      </c>
      <c r="D463" s="11">
        <f>MAX(0,C463*$C$426/12)</f>
        <v/>
      </c>
      <c r="E463" s="11">
        <f>MAX(0,MIN(C463,$C$425-D463))</f>
        <v/>
      </c>
      <c r="F463" s="11">
        <f>MAX(0,C463-E463)</f>
        <v/>
      </c>
    </row>
    <row r="464">
      <c r="A464" s="34" t="n"/>
      <c r="B464" s="41" t="inlineStr">
        <is>
          <t>TOTAL</t>
        </is>
      </c>
      <c r="C464" s="34" t="n"/>
      <c r="D464" s="42">
        <f>SUM(D431:D463)</f>
        <v/>
      </c>
      <c r="E464" s="42">
        <f>SUM(E431:E463)</f>
        <v/>
      </c>
      <c r="F464" s="34" t="n"/>
    </row>
    <row r="466">
      <c r="A466" s="80" t="inlineStr">
        <is>
          <t>LOAN 13: 2 T680 (Oct 2022)</t>
        </is>
      </c>
      <c r="B466" s="81" t="n"/>
      <c r="C466" s="81" t="n"/>
      <c r="D466" s="81" t="n"/>
      <c r="E466" s="81" t="n"/>
      <c r="F466" s="81" t="n"/>
      <c r="G466" s="81" t="n"/>
    </row>
    <row r="467">
      <c r="B467" t="inlineStr">
        <is>
          <t>Loan ID</t>
        </is>
      </c>
      <c r="C467" s="2" t="inlineStr">
        <is>
          <t>05-2959-010-000-00</t>
        </is>
      </c>
    </row>
    <row r="468">
      <c r="B468" t="inlineStr">
        <is>
          <t>Account</t>
        </is>
      </c>
      <c r="C468" s="2" t="inlineStr">
        <is>
          <t>7375090</t>
        </is>
      </c>
    </row>
    <row r="469">
      <c r="B469" t="inlineStr">
        <is>
          <t>Origination Date</t>
        </is>
      </c>
      <c r="C469" s="16" t="n">
        <v>44860</v>
      </c>
    </row>
    <row r="470">
      <c r="B470" t="inlineStr">
        <is>
          <t>Maturity Date</t>
        </is>
      </c>
      <c r="C470" s="16" t="n">
        <v>46975</v>
      </c>
    </row>
    <row r="471">
      <c r="B471" t="inlineStr">
        <is>
          <t>Original Balance</t>
        </is>
      </c>
      <c r="C471" s="3" t="n">
        <v>320820</v>
      </c>
    </row>
    <row r="472">
      <c r="B472" t="inlineStr">
        <is>
          <t>Remaining Balance (Nov 30, 2025)</t>
        </is>
      </c>
      <c r="C472" s="3" t="n">
        <v>173587</v>
      </c>
    </row>
    <row r="473">
      <c r="B473" t="inlineStr">
        <is>
          <t>Monthly Payment</t>
        </is>
      </c>
      <c r="C473" s="3" t="n">
        <v>5657.19</v>
      </c>
    </row>
    <row r="474">
      <c r="B474" t="inlineStr">
        <is>
          <t>Annual Interest Rate</t>
        </is>
      </c>
      <c r="C474" s="4" t="n">
        <v>0.0494</v>
      </c>
    </row>
    <row r="475">
      <c r="B475" s="6" t="inlineStr">
        <is>
          <t>Loan Type</t>
        </is>
      </c>
      <c r="C475" s="6" t="inlineStr">
        <is>
          <t>AMORTIZING</t>
        </is>
      </c>
    </row>
    <row r="476">
      <c r="B476" s="6" t="inlineStr">
        <is>
          <t>Use</t>
        </is>
      </c>
      <c r="C476" s="6" t="inlineStr">
        <is>
          <t>Equipment (Semi trucks)</t>
        </is>
      </c>
    </row>
    <row r="478">
      <c r="A478" s="23" t="inlineStr">
        <is>
          <t>Month #</t>
        </is>
      </c>
      <c r="B478" s="23" t="inlineStr">
        <is>
          <t>Date</t>
        </is>
      </c>
      <c r="C478" s="23" t="inlineStr">
        <is>
          <t>Opening Balance</t>
        </is>
      </c>
      <c r="D478" s="23" t="inlineStr">
        <is>
          <t>Interest</t>
        </is>
      </c>
      <c r="E478" s="23" t="inlineStr">
        <is>
          <t>Principal</t>
        </is>
      </c>
      <c r="F478" s="23" t="inlineStr">
        <is>
          <t>Closing Balance</t>
        </is>
      </c>
    </row>
    <row r="479">
      <c r="A479" s="34" t="n">
        <v>1</v>
      </c>
      <c r="B479" s="13" t="n">
        <v>46021</v>
      </c>
      <c r="C479" s="11">
        <f>$C$472</f>
        <v/>
      </c>
      <c r="D479" s="11">
        <f>MAX(0,C479*$C$474/12)</f>
        <v/>
      </c>
      <c r="E479" s="11">
        <f>MAX(0,MIN(C479,$C$473-D479))</f>
        <v/>
      </c>
      <c r="F479" s="11">
        <f>MAX(0,C479-E479)</f>
        <v/>
      </c>
    </row>
    <row r="480">
      <c r="A480" s="34" t="n">
        <v>2</v>
      </c>
      <c r="B480" s="13" t="n">
        <v>46052</v>
      </c>
      <c r="C480" s="11">
        <f>F479</f>
        <v/>
      </c>
      <c r="D480" s="11">
        <f>MAX(0,C480*$C$474/12)</f>
        <v/>
      </c>
      <c r="E480" s="11">
        <f>MAX(0,MIN(C480,$C$473-D480))</f>
        <v/>
      </c>
      <c r="F480" s="11">
        <f>MAX(0,C480-E480)</f>
        <v/>
      </c>
    </row>
    <row r="481">
      <c r="A481" s="34" t="n">
        <v>3</v>
      </c>
      <c r="B481" s="13" t="n">
        <v>46081</v>
      </c>
      <c r="C481" s="11">
        <f>F480</f>
        <v/>
      </c>
      <c r="D481" s="11">
        <f>MAX(0,C481*$C$474/12)</f>
        <v/>
      </c>
      <c r="E481" s="11">
        <f>MAX(0,MIN(C481,$C$473-D481))</f>
        <v/>
      </c>
      <c r="F481" s="11">
        <f>MAX(0,C481-E481)</f>
        <v/>
      </c>
    </row>
    <row r="482">
      <c r="A482" s="34" t="n">
        <v>4</v>
      </c>
      <c r="B482" s="13" t="n">
        <v>46111</v>
      </c>
      <c r="C482" s="11">
        <f>F481</f>
        <v/>
      </c>
      <c r="D482" s="11">
        <f>MAX(0,C482*$C$474/12)</f>
        <v/>
      </c>
      <c r="E482" s="11">
        <f>MAX(0,MIN(C482,$C$473-D482))</f>
        <v/>
      </c>
      <c r="F482" s="11">
        <f>MAX(0,C482-E482)</f>
        <v/>
      </c>
    </row>
    <row r="483">
      <c r="A483" s="34" t="n">
        <v>5</v>
      </c>
      <c r="B483" s="13" t="n">
        <v>46142</v>
      </c>
      <c r="C483" s="11">
        <f>F482</f>
        <v/>
      </c>
      <c r="D483" s="11">
        <f>MAX(0,C483*$C$474/12)</f>
        <v/>
      </c>
      <c r="E483" s="11">
        <f>MAX(0,MIN(C483,$C$473-D483))</f>
        <v/>
      </c>
      <c r="F483" s="11">
        <f>MAX(0,C483-E483)</f>
        <v/>
      </c>
    </row>
    <row r="484">
      <c r="A484" s="34" t="n">
        <v>6</v>
      </c>
      <c r="B484" s="13" t="n">
        <v>46172</v>
      </c>
      <c r="C484" s="11">
        <f>F483</f>
        <v/>
      </c>
      <c r="D484" s="11">
        <f>MAX(0,C484*$C$474/12)</f>
        <v/>
      </c>
      <c r="E484" s="11">
        <f>MAX(0,MIN(C484,$C$473-D484))</f>
        <v/>
      </c>
      <c r="F484" s="11">
        <f>MAX(0,C484-E484)</f>
        <v/>
      </c>
    </row>
    <row r="485">
      <c r="A485" s="34" t="n">
        <v>7</v>
      </c>
      <c r="B485" s="13" t="n">
        <v>46203</v>
      </c>
      <c r="C485" s="11">
        <f>F484</f>
        <v/>
      </c>
      <c r="D485" s="11">
        <f>MAX(0,C485*$C$474/12)</f>
        <v/>
      </c>
      <c r="E485" s="11">
        <f>MAX(0,MIN(C485,$C$473-D485))</f>
        <v/>
      </c>
      <c r="F485" s="11">
        <f>MAX(0,C485-E485)</f>
        <v/>
      </c>
    </row>
    <row r="486">
      <c r="A486" s="34" t="n">
        <v>8</v>
      </c>
      <c r="B486" s="13" t="n">
        <v>46233</v>
      </c>
      <c r="C486" s="11">
        <f>F485</f>
        <v/>
      </c>
      <c r="D486" s="11">
        <f>MAX(0,C486*$C$474/12)</f>
        <v/>
      </c>
      <c r="E486" s="11">
        <f>MAX(0,MIN(C486,$C$473-D486))</f>
        <v/>
      </c>
      <c r="F486" s="11">
        <f>MAX(0,C486-E486)</f>
        <v/>
      </c>
    </row>
    <row r="487">
      <c r="A487" s="34" t="n">
        <v>9</v>
      </c>
      <c r="B487" s="13" t="n">
        <v>46264</v>
      </c>
      <c r="C487" s="11">
        <f>F486</f>
        <v/>
      </c>
      <c r="D487" s="11">
        <f>MAX(0,C487*$C$474/12)</f>
        <v/>
      </c>
      <c r="E487" s="11">
        <f>MAX(0,MIN(C487,$C$473-D487))</f>
        <v/>
      </c>
      <c r="F487" s="11">
        <f>MAX(0,C487-E487)</f>
        <v/>
      </c>
    </row>
    <row r="488">
      <c r="A488" s="34" t="n">
        <v>10</v>
      </c>
      <c r="B488" s="13" t="n">
        <v>46295</v>
      </c>
      <c r="C488" s="11">
        <f>F487</f>
        <v/>
      </c>
      <c r="D488" s="11">
        <f>MAX(0,C488*$C$474/12)</f>
        <v/>
      </c>
      <c r="E488" s="11">
        <f>MAX(0,MIN(C488,$C$473-D488))</f>
        <v/>
      </c>
      <c r="F488" s="11">
        <f>MAX(0,C488-E488)</f>
        <v/>
      </c>
    </row>
    <row r="489">
      <c r="A489" s="34" t="n">
        <v>11</v>
      </c>
      <c r="B489" s="13" t="n">
        <v>46325</v>
      </c>
      <c r="C489" s="11">
        <f>F488</f>
        <v/>
      </c>
      <c r="D489" s="11">
        <f>MAX(0,C489*$C$474/12)</f>
        <v/>
      </c>
      <c r="E489" s="11">
        <f>MAX(0,MIN(C489,$C$473-D489))</f>
        <v/>
      </c>
      <c r="F489" s="11">
        <f>MAX(0,C489-E489)</f>
        <v/>
      </c>
    </row>
    <row r="490">
      <c r="A490" s="34" t="n">
        <v>12</v>
      </c>
      <c r="B490" s="13" t="n">
        <v>46356</v>
      </c>
      <c r="C490" s="11">
        <f>F489</f>
        <v/>
      </c>
      <c r="D490" s="11">
        <f>MAX(0,C490*$C$474/12)</f>
        <v/>
      </c>
      <c r="E490" s="11">
        <f>MAX(0,MIN(C490,$C$473-D490))</f>
        <v/>
      </c>
      <c r="F490" s="11">
        <f>MAX(0,C490-E490)</f>
        <v/>
      </c>
    </row>
    <row r="491">
      <c r="A491" s="34" t="n">
        <v>13</v>
      </c>
      <c r="B491" s="13" t="n">
        <v>46386</v>
      </c>
      <c r="C491" s="11">
        <f>F490</f>
        <v/>
      </c>
      <c r="D491" s="11">
        <f>MAX(0,C491*$C$474/12)</f>
        <v/>
      </c>
      <c r="E491" s="11">
        <f>MAX(0,MIN(C491,$C$473-D491))</f>
        <v/>
      </c>
      <c r="F491" s="11">
        <f>MAX(0,C491-E491)</f>
        <v/>
      </c>
    </row>
    <row r="492">
      <c r="A492" s="34" t="n">
        <v>14</v>
      </c>
      <c r="B492" s="13" t="n">
        <v>46417</v>
      </c>
      <c r="C492" s="11">
        <f>F491</f>
        <v/>
      </c>
      <c r="D492" s="11">
        <f>MAX(0,C492*$C$474/12)</f>
        <v/>
      </c>
      <c r="E492" s="11">
        <f>MAX(0,MIN(C492,$C$473-D492))</f>
        <v/>
      </c>
      <c r="F492" s="11">
        <f>MAX(0,C492-E492)</f>
        <v/>
      </c>
    </row>
    <row r="493">
      <c r="A493" s="34" t="n">
        <v>15</v>
      </c>
      <c r="B493" s="13" t="n">
        <v>46446</v>
      </c>
      <c r="C493" s="11">
        <f>F492</f>
        <v/>
      </c>
      <c r="D493" s="11">
        <f>MAX(0,C493*$C$474/12)</f>
        <v/>
      </c>
      <c r="E493" s="11">
        <f>MAX(0,MIN(C493,$C$473-D493))</f>
        <v/>
      </c>
      <c r="F493" s="11">
        <f>MAX(0,C493-E493)</f>
        <v/>
      </c>
    </row>
    <row r="494">
      <c r="A494" s="34" t="n">
        <v>16</v>
      </c>
      <c r="B494" s="13" t="n">
        <v>46476</v>
      </c>
      <c r="C494" s="11">
        <f>F493</f>
        <v/>
      </c>
      <c r="D494" s="11">
        <f>MAX(0,C494*$C$474/12)</f>
        <v/>
      </c>
      <c r="E494" s="11">
        <f>MAX(0,MIN(C494,$C$473-D494))</f>
        <v/>
      </c>
      <c r="F494" s="11">
        <f>MAX(0,C494-E494)</f>
        <v/>
      </c>
    </row>
    <row r="495">
      <c r="A495" s="34" t="n">
        <v>17</v>
      </c>
      <c r="B495" s="13" t="n">
        <v>46507</v>
      </c>
      <c r="C495" s="11">
        <f>F494</f>
        <v/>
      </c>
      <c r="D495" s="11">
        <f>MAX(0,C495*$C$474/12)</f>
        <v/>
      </c>
      <c r="E495" s="11">
        <f>MAX(0,MIN(C495,$C$473-D495))</f>
        <v/>
      </c>
      <c r="F495" s="11">
        <f>MAX(0,C495-E495)</f>
        <v/>
      </c>
    </row>
    <row r="496">
      <c r="A496" s="34" t="n">
        <v>18</v>
      </c>
      <c r="B496" s="13" t="n">
        <v>46537</v>
      </c>
      <c r="C496" s="11">
        <f>F495</f>
        <v/>
      </c>
      <c r="D496" s="11">
        <f>MAX(0,C496*$C$474/12)</f>
        <v/>
      </c>
      <c r="E496" s="11">
        <f>MAX(0,MIN(C496,$C$473-D496))</f>
        <v/>
      </c>
      <c r="F496" s="11">
        <f>MAX(0,C496-E496)</f>
        <v/>
      </c>
    </row>
    <row r="497">
      <c r="A497" s="34" t="n">
        <v>19</v>
      </c>
      <c r="B497" s="13" t="n">
        <v>46568</v>
      </c>
      <c r="C497" s="11">
        <f>F496</f>
        <v/>
      </c>
      <c r="D497" s="11">
        <f>MAX(0,C497*$C$474/12)</f>
        <v/>
      </c>
      <c r="E497" s="11">
        <f>MAX(0,MIN(C497,$C$473-D497))</f>
        <v/>
      </c>
      <c r="F497" s="11">
        <f>MAX(0,C497-E497)</f>
        <v/>
      </c>
    </row>
    <row r="498">
      <c r="A498" s="34" t="n">
        <v>20</v>
      </c>
      <c r="B498" s="13" t="n">
        <v>46598</v>
      </c>
      <c r="C498" s="11">
        <f>F497</f>
        <v/>
      </c>
      <c r="D498" s="11">
        <f>MAX(0,C498*$C$474/12)</f>
        <v/>
      </c>
      <c r="E498" s="11">
        <f>MAX(0,MIN(C498,$C$473-D498))</f>
        <v/>
      </c>
      <c r="F498" s="11">
        <f>MAX(0,C498-E498)</f>
        <v/>
      </c>
    </row>
    <row r="499">
      <c r="A499" s="34" t="n">
        <v>21</v>
      </c>
      <c r="B499" s="13" t="n">
        <v>46629</v>
      </c>
      <c r="C499" s="11">
        <f>F498</f>
        <v/>
      </c>
      <c r="D499" s="11">
        <f>MAX(0,C499*$C$474/12)</f>
        <v/>
      </c>
      <c r="E499" s="11">
        <f>MAX(0,MIN(C499,$C$473-D499))</f>
        <v/>
      </c>
      <c r="F499" s="11">
        <f>MAX(0,C499-E499)</f>
        <v/>
      </c>
    </row>
    <row r="500">
      <c r="A500" s="34" t="n">
        <v>22</v>
      </c>
      <c r="B500" s="13" t="n">
        <v>46660</v>
      </c>
      <c r="C500" s="11">
        <f>F499</f>
        <v/>
      </c>
      <c r="D500" s="11">
        <f>MAX(0,C500*$C$474/12)</f>
        <v/>
      </c>
      <c r="E500" s="11">
        <f>MAX(0,MIN(C500,$C$473-D500))</f>
        <v/>
      </c>
      <c r="F500" s="11">
        <f>MAX(0,C500-E500)</f>
        <v/>
      </c>
    </row>
    <row r="501">
      <c r="A501" s="34" t="n">
        <v>23</v>
      </c>
      <c r="B501" s="13" t="n">
        <v>46690</v>
      </c>
      <c r="C501" s="11">
        <f>F500</f>
        <v/>
      </c>
      <c r="D501" s="11">
        <f>MAX(0,C501*$C$474/12)</f>
        <v/>
      </c>
      <c r="E501" s="11">
        <f>MAX(0,MIN(C501,$C$473-D501))</f>
        <v/>
      </c>
      <c r="F501" s="11">
        <f>MAX(0,C501-E501)</f>
        <v/>
      </c>
    </row>
    <row r="502">
      <c r="A502" s="34" t="n">
        <v>24</v>
      </c>
      <c r="B502" s="13" t="n">
        <v>46721</v>
      </c>
      <c r="C502" s="11">
        <f>F501</f>
        <v/>
      </c>
      <c r="D502" s="11">
        <f>MAX(0,C502*$C$474/12)</f>
        <v/>
      </c>
      <c r="E502" s="11">
        <f>MAX(0,MIN(C502,$C$473-D502))</f>
        <v/>
      </c>
      <c r="F502" s="11">
        <f>MAX(0,C502-E502)</f>
        <v/>
      </c>
    </row>
    <row r="503">
      <c r="A503" s="34" t="n">
        <v>25</v>
      </c>
      <c r="B503" s="13" t="n">
        <v>46751</v>
      </c>
      <c r="C503" s="11">
        <f>F502</f>
        <v/>
      </c>
      <c r="D503" s="11">
        <f>MAX(0,C503*$C$474/12)</f>
        <v/>
      </c>
      <c r="E503" s="11">
        <f>MAX(0,MIN(C503,$C$473-D503))</f>
        <v/>
      </c>
      <c r="F503" s="11">
        <f>MAX(0,C503-E503)</f>
        <v/>
      </c>
    </row>
    <row r="504">
      <c r="A504" s="34" t="n">
        <v>26</v>
      </c>
      <c r="B504" s="13" t="n">
        <v>46782</v>
      </c>
      <c r="C504" s="11">
        <f>F503</f>
        <v/>
      </c>
      <c r="D504" s="11">
        <f>MAX(0,C504*$C$474/12)</f>
        <v/>
      </c>
      <c r="E504" s="11">
        <f>MAX(0,MIN(C504,$C$473-D504))</f>
        <v/>
      </c>
      <c r="F504" s="11">
        <f>MAX(0,C504-E504)</f>
        <v/>
      </c>
    </row>
    <row r="505">
      <c r="A505" s="34" t="n">
        <v>27</v>
      </c>
      <c r="B505" s="13" t="n">
        <v>46812</v>
      </c>
      <c r="C505" s="11">
        <f>F504</f>
        <v/>
      </c>
      <c r="D505" s="11">
        <f>MAX(0,C505*$C$474/12)</f>
        <v/>
      </c>
      <c r="E505" s="11">
        <f>MAX(0,MIN(C505,$C$473-D505))</f>
        <v/>
      </c>
      <c r="F505" s="11">
        <f>MAX(0,C505-E505)</f>
        <v/>
      </c>
    </row>
    <row r="506">
      <c r="A506" s="34" t="n">
        <v>28</v>
      </c>
      <c r="B506" s="13" t="n">
        <v>46842</v>
      </c>
      <c r="C506" s="11">
        <f>F505</f>
        <v/>
      </c>
      <c r="D506" s="11">
        <f>MAX(0,C506*$C$474/12)</f>
        <v/>
      </c>
      <c r="E506" s="11">
        <f>MAX(0,MIN(C506,$C$473-D506))</f>
        <v/>
      </c>
      <c r="F506" s="11">
        <f>MAX(0,C506-E506)</f>
        <v/>
      </c>
    </row>
    <row r="507">
      <c r="A507" s="34" t="n">
        <v>29</v>
      </c>
      <c r="B507" s="13" t="n">
        <v>46873</v>
      </c>
      <c r="C507" s="11">
        <f>F506</f>
        <v/>
      </c>
      <c r="D507" s="11">
        <f>MAX(0,C507*$C$474/12)</f>
        <v/>
      </c>
      <c r="E507" s="11">
        <f>MAX(0,MIN(C507,$C$473-D507))</f>
        <v/>
      </c>
      <c r="F507" s="11">
        <f>MAX(0,C507-E507)</f>
        <v/>
      </c>
    </row>
    <row r="508">
      <c r="A508" s="34" t="n">
        <v>30</v>
      </c>
      <c r="B508" s="13" t="n">
        <v>46903</v>
      </c>
      <c r="C508" s="11">
        <f>F507</f>
        <v/>
      </c>
      <c r="D508" s="11">
        <f>MAX(0,C508*$C$474/12)</f>
        <v/>
      </c>
      <c r="E508" s="11">
        <f>MAX(0,MIN(C508,$C$473-D508))</f>
        <v/>
      </c>
      <c r="F508" s="11">
        <f>MAX(0,C508-E508)</f>
        <v/>
      </c>
    </row>
    <row r="509">
      <c r="A509" s="34" t="n">
        <v>31</v>
      </c>
      <c r="B509" s="13" t="n">
        <v>46934</v>
      </c>
      <c r="C509" s="11">
        <f>F508</f>
        <v/>
      </c>
      <c r="D509" s="11">
        <f>MAX(0,C509*$C$474/12)</f>
        <v/>
      </c>
      <c r="E509" s="11">
        <f>MAX(0,MIN(C509,$C$473-D509))</f>
        <v/>
      </c>
      <c r="F509" s="11">
        <f>MAX(0,C509-E509)</f>
        <v/>
      </c>
    </row>
    <row r="510">
      <c r="A510" s="34" t="n">
        <v>32</v>
      </c>
      <c r="B510" s="13" t="n">
        <v>46964</v>
      </c>
      <c r="C510" s="11">
        <f>F509</f>
        <v/>
      </c>
      <c r="D510" s="11">
        <f>MAX(0,C510*$C$474/12)</f>
        <v/>
      </c>
      <c r="E510" s="11">
        <f>MAX(0,MIN(C510,$C$473-D510))</f>
        <v/>
      </c>
      <c r="F510" s="11">
        <f>MAX(0,C510-E510)</f>
        <v/>
      </c>
    </row>
    <row r="511">
      <c r="A511" s="34" t="n">
        <v>33</v>
      </c>
      <c r="B511" s="13" t="n">
        <v>46995</v>
      </c>
      <c r="C511" s="11">
        <f>F510</f>
        <v/>
      </c>
      <c r="D511" s="11">
        <f>MAX(0,C511*$C$474/12)</f>
        <v/>
      </c>
      <c r="E511" s="11">
        <f>MAX(0,MIN(C511,$C$473-D511))</f>
        <v/>
      </c>
      <c r="F511" s="11">
        <f>MAX(0,C511-E511)</f>
        <v/>
      </c>
    </row>
    <row r="512">
      <c r="A512" s="34" t="n"/>
      <c r="B512" s="41" t="inlineStr">
        <is>
          <t>TOTAL</t>
        </is>
      </c>
      <c r="C512" s="34" t="n"/>
      <c r="D512" s="42">
        <f>SUM(D479:D511)</f>
        <v/>
      </c>
      <c r="E512" s="42">
        <f>SUM(E479:E511)</f>
        <v/>
      </c>
      <c r="F512" s="34" t="n"/>
    </row>
    <row r="514">
      <c r="A514" s="80" t="inlineStr">
        <is>
          <t>LOAN 14: 2 T680 (Nov 2022)</t>
        </is>
      </c>
      <c r="B514" s="81" t="n"/>
      <c r="C514" s="81" t="n"/>
      <c r="D514" s="81" t="n"/>
      <c r="E514" s="81" t="n"/>
      <c r="F514" s="81" t="n"/>
      <c r="G514" s="81" t="n"/>
    </row>
    <row r="515">
      <c r="B515" t="inlineStr">
        <is>
          <t>Loan ID</t>
        </is>
      </c>
      <c r="C515" s="2" t="inlineStr">
        <is>
          <t>05-2959-011-000-00</t>
        </is>
      </c>
    </row>
    <row r="516">
      <c r="B516" t="inlineStr">
        <is>
          <t>Account</t>
        </is>
      </c>
      <c r="C516" s="2" t="inlineStr">
        <is>
          <t>7380587</t>
        </is>
      </c>
    </row>
    <row r="517">
      <c r="B517" t="inlineStr">
        <is>
          <t>Origination Date</t>
        </is>
      </c>
      <c r="C517" s="16" t="n">
        <v>44887</v>
      </c>
    </row>
    <row r="518">
      <c r="B518" t="inlineStr">
        <is>
          <t>Maturity Date</t>
        </is>
      </c>
      <c r="C518" s="16" t="n">
        <v>47002</v>
      </c>
    </row>
    <row r="519">
      <c r="B519" t="inlineStr">
        <is>
          <t>Original Balance</t>
        </is>
      </c>
      <c r="C519" s="3" t="n">
        <v>319570</v>
      </c>
    </row>
    <row r="520">
      <c r="B520" t="inlineStr">
        <is>
          <t>Remaining Balance (Nov 30, 2025)</t>
        </is>
      </c>
      <c r="C520" s="3" t="n">
        <v>174684</v>
      </c>
    </row>
    <row r="521">
      <c r="B521" t="inlineStr">
        <is>
          <t>Monthly Payment</t>
        </is>
      </c>
      <c r="C521" s="3" t="n">
        <v>5632.49</v>
      </c>
    </row>
    <row r="522">
      <c r="B522" t="inlineStr">
        <is>
          <t>Annual Interest Rate</t>
        </is>
      </c>
      <c r="C522" s="4" t="n">
        <v>0.0494</v>
      </c>
    </row>
    <row r="523">
      <c r="B523" s="6" t="inlineStr">
        <is>
          <t>Loan Type</t>
        </is>
      </c>
      <c r="C523" s="6" t="inlineStr">
        <is>
          <t>AMORTIZING</t>
        </is>
      </c>
    </row>
    <row r="524">
      <c r="B524" s="6" t="inlineStr">
        <is>
          <t>Use</t>
        </is>
      </c>
      <c r="C524" s="6" t="inlineStr">
        <is>
          <t>Equipment (Semi trucks)</t>
        </is>
      </c>
    </row>
    <row r="526">
      <c r="A526" s="23" t="inlineStr">
        <is>
          <t>Month #</t>
        </is>
      </c>
      <c r="B526" s="23" t="inlineStr">
        <is>
          <t>Date</t>
        </is>
      </c>
      <c r="C526" s="23" t="inlineStr">
        <is>
          <t>Opening Balance</t>
        </is>
      </c>
      <c r="D526" s="23" t="inlineStr">
        <is>
          <t>Interest</t>
        </is>
      </c>
      <c r="E526" s="23" t="inlineStr">
        <is>
          <t>Principal</t>
        </is>
      </c>
      <c r="F526" s="23" t="inlineStr">
        <is>
          <t>Closing Balance</t>
        </is>
      </c>
    </row>
    <row r="527">
      <c r="A527" s="34" t="n">
        <v>1</v>
      </c>
      <c r="B527" s="13" t="n">
        <v>46021</v>
      </c>
      <c r="C527" s="11">
        <f>$C$520</f>
        <v/>
      </c>
      <c r="D527" s="11">
        <f>MAX(0,C527*$C$522/12)</f>
        <v/>
      </c>
      <c r="E527" s="11">
        <f>MAX(0,MIN(C527,$C$521-D527))</f>
        <v/>
      </c>
      <c r="F527" s="11">
        <f>MAX(0,C527-E527)</f>
        <v/>
      </c>
    </row>
    <row r="528">
      <c r="A528" s="34" t="n">
        <v>2</v>
      </c>
      <c r="B528" s="13" t="n">
        <v>46052</v>
      </c>
      <c r="C528" s="11">
        <f>F527</f>
        <v/>
      </c>
      <c r="D528" s="11">
        <f>MAX(0,C528*$C$522/12)</f>
        <v/>
      </c>
      <c r="E528" s="11">
        <f>MAX(0,MIN(C528,$C$521-D528))</f>
        <v/>
      </c>
      <c r="F528" s="11">
        <f>MAX(0,C528-E528)</f>
        <v/>
      </c>
    </row>
    <row r="529">
      <c r="A529" s="34" t="n">
        <v>3</v>
      </c>
      <c r="B529" s="13" t="n">
        <v>46081</v>
      </c>
      <c r="C529" s="11">
        <f>F528</f>
        <v/>
      </c>
      <c r="D529" s="11">
        <f>MAX(0,C529*$C$522/12)</f>
        <v/>
      </c>
      <c r="E529" s="11">
        <f>MAX(0,MIN(C529,$C$521-D529))</f>
        <v/>
      </c>
      <c r="F529" s="11">
        <f>MAX(0,C529-E529)</f>
        <v/>
      </c>
    </row>
    <row r="530">
      <c r="A530" s="34" t="n">
        <v>4</v>
      </c>
      <c r="B530" s="13" t="n">
        <v>46111</v>
      </c>
      <c r="C530" s="11">
        <f>F529</f>
        <v/>
      </c>
      <c r="D530" s="11">
        <f>MAX(0,C530*$C$522/12)</f>
        <v/>
      </c>
      <c r="E530" s="11">
        <f>MAX(0,MIN(C530,$C$521-D530))</f>
        <v/>
      </c>
      <c r="F530" s="11">
        <f>MAX(0,C530-E530)</f>
        <v/>
      </c>
    </row>
    <row r="531">
      <c r="A531" s="34" t="n">
        <v>5</v>
      </c>
      <c r="B531" s="13" t="n">
        <v>46142</v>
      </c>
      <c r="C531" s="11">
        <f>F530</f>
        <v/>
      </c>
      <c r="D531" s="11">
        <f>MAX(0,C531*$C$522/12)</f>
        <v/>
      </c>
      <c r="E531" s="11">
        <f>MAX(0,MIN(C531,$C$521-D531))</f>
        <v/>
      </c>
      <c r="F531" s="11">
        <f>MAX(0,C531-E531)</f>
        <v/>
      </c>
    </row>
    <row r="532">
      <c r="A532" s="34" t="n">
        <v>6</v>
      </c>
      <c r="B532" s="13" t="n">
        <v>46172</v>
      </c>
      <c r="C532" s="11">
        <f>F531</f>
        <v/>
      </c>
      <c r="D532" s="11">
        <f>MAX(0,C532*$C$522/12)</f>
        <v/>
      </c>
      <c r="E532" s="11">
        <f>MAX(0,MIN(C532,$C$521-D532))</f>
        <v/>
      </c>
      <c r="F532" s="11">
        <f>MAX(0,C532-E532)</f>
        <v/>
      </c>
    </row>
    <row r="533">
      <c r="A533" s="34" t="n">
        <v>7</v>
      </c>
      <c r="B533" s="13" t="n">
        <v>46203</v>
      </c>
      <c r="C533" s="11">
        <f>F532</f>
        <v/>
      </c>
      <c r="D533" s="11">
        <f>MAX(0,C533*$C$522/12)</f>
        <v/>
      </c>
      <c r="E533" s="11">
        <f>MAX(0,MIN(C533,$C$521-D533))</f>
        <v/>
      </c>
      <c r="F533" s="11">
        <f>MAX(0,C533-E533)</f>
        <v/>
      </c>
    </row>
    <row r="534">
      <c r="A534" s="34" t="n">
        <v>8</v>
      </c>
      <c r="B534" s="13" t="n">
        <v>46233</v>
      </c>
      <c r="C534" s="11">
        <f>F533</f>
        <v/>
      </c>
      <c r="D534" s="11">
        <f>MAX(0,C534*$C$522/12)</f>
        <v/>
      </c>
      <c r="E534" s="11">
        <f>MAX(0,MIN(C534,$C$521-D534))</f>
        <v/>
      </c>
      <c r="F534" s="11">
        <f>MAX(0,C534-E534)</f>
        <v/>
      </c>
    </row>
    <row r="535">
      <c r="A535" s="34" t="n">
        <v>9</v>
      </c>
      <c r="B535" s="13" t="n">
        <v>46264</v>
      </c>
      <c r="C535" s="11">
        <f>F534</f>
        <v/>
      </c>
      <c r="D535" s="11">
        <f>MAX(0,C535*$C$522/12)</f>
        <v/>
      </c>
      <c r="E535" s="11">
        <f>MAX(0,MIN(C535,$C$521-D535))</f>
        <v/>
      </c>
      <c r="F535" s="11">
        <f>MAX(0,C535-E535)</f>
        <v/>
      </c>
    </row>
    <row r="536">
      <c r="A536" s="34" t="n">
        <v>10</v>
      </c>
      <c r="B536" s="13" t="n">
        <v>46295</v>
      </c>
      <c r="C536" s="11">
        <f>F535</f>
        <v/>
      </c>
      <c r="D536" s="11">
        <f>MAX(0,C536*$C$522/12)</f>
        <v/>
      </c>
      <c r="E536" s="11">
        <f>MAX(0,MIN(C536,$C$521-D536))</f>
        <v/>
      </c>
      <c r="F536" s="11">
        <f>MAX(0,C536-E536)</f>
        <v/>
      </c>
    </row>
    <row r="537">
      <c r="A537" s="34" t="n">
        <v>11</v>
      </c>
      <c r="B537" s="13" t="n">
        <v>46325</v>
      </c>
      <c r="C537" s="11">
        <f>F536</f>
        <v/>
      </c>
      <c r="D537" s="11">
        <f>MAX(0,C537*$C$522/12)</f>
        <v/>
      </c>
      <c r="E537" s="11">
        <f>MAX(0,MIN(C537,$C$521-D537))</f>
        <v/>
      </c>
      <c r="F537" s="11">
        <f>MAX(0,C537-E537)</f>
        <v/>
      </c>
    </row>
    <row r="538">
      <c r="A538" s="34" t="n">
        <v>12</v>
      </c>
      <c r="B538" s="13" t="n">
        <v>46356</v>
      </c>
      <c r="C538" s="11">
        <f>F537</f>
        <v/>
      </c>
      <c r="D538" s="11">
        <f>MAX(0,C538*$C$522/12)</f>
        <v/>
      </c>
      <c r="E538" s="11">
        <f>MAX(0,MIN(C538,$C$521-D538))</f>
        <v/>
      </c>
      <c r="F538" s="11">
        <f>MAX(0,C538-E538)</f>
        <v/>
      </c>
    </row>
    <row r="539">
      <c r="A539" s="34" t="n">
        <v>13</v>
      </c>
      <c r="B539" s="13" t="n">
        <v>46386</v>
      </c>
      <c r="C539" s="11">
        <f>F538</f>
        <v/>
      </c>
      <c r="D539" s="11">
        <f>MAX(0,C539*$C$522/12)</f>
        <v/>
      </c>
      <c r="E539" s="11">
        <f>MAX(0,MIN(C539,$C$521-D539))</f>
        <v/>
      </c>
      <c r="F539" s="11">
        <f>MAX(0,C539-E539)</f>
        <v/>
      </c>
    </row>
    <row r="540">
      <c r="A540" s="34" t="n">
        <v>14</v>
      </c>
      <c r="B540" s="13" t="n">
        <v>46417</v>
      </c>
      <c r="C540" s="11">
        <f>F539</f>
        <v/>
      </c>
      <c r="D540" s="11">
        <f>MAX(0,C540*$C$522/12)</f>
        <v/>
      </c>
      <c r="E540" s="11">
        <f>MAX(0,MIN(C540,$C$521-D540))</f>
        <v/>
      </c>
      <c r="F540" s="11">
        <f>MAX(0,C540-E540)</f>
        <v/>
      </c>
    </row>
    <row r="541">
      <c r="A541" s="34" t="n">
        <v>15</v>
      </c>
      <c r="B541" s="13" t="n">
        <v>46446</v>
      </c>
      <c r="C541" s="11">
        <f>F540</f>
        <v/>
      </c>
      <c r="D541" s="11">
        <f>MAX(0,C541*$C$522/12)</f>
        <v/>
      </c>
      <c r="E541" s="11">
        <f>MAX(0,MIN(C541,$C$521-D541))</f>
        <v/>
      </c>
      <c r="F541" s="11">
        <f>MAX(0,C541-E541)</f>
        <v/>
      </c>
    </row>
    <row r="542">
      <c r="A542" s="34" t="n">
        <v>16</v>
      </c>
      <c r="B542" s="13" t="n">
        <v>46476</v>
      </c>
      <c r="C542" s="11">
        <f>F541</f>
        <v/>
      </c>
      <c r="D542" s="11">
        <f>MAX(0,C542*$C$522/12)</f>
        <v/>
      </c>
      <c r="E542" s="11">
        <f>MAX(0,MIN(C542,$C$521-D542))</f>
        <v/>
      </c>
      <c r="F542" s="11">
        <f>MAX(0,C542-E542)</f>
        <v/>
      </c>
    </row>
    <row r="543">
      <c r="A543" s="34" t="n">
        <v>17</v>
      </c>
      <c r="B543" s="13" t="n">
        <v>46507</v>
      </c>
      <c r="C543" s="11">
        <f>F542</f>
        <v/>
      </c>
      <c r="D543" s="11">
        <f>MAX(0,C543*$C$522/12)</f>
        <v/>
      </c>
      <c r="E543" s="11">
        <f>MAX(0,MIN(C543,$C$521-D543))</f>
        <v/>
      </c>
      <c r="F543" s="11">
        <f>MAX(0,C543-E543)</f>
        <v/>
      </c>
    </row>
    <row r="544">
      <c r="A544" s="34" t="n">
        <v>18</v>
      </c>
      <c r="B544" s="13" t="n">
        <v>46537</v>
      </c>
      <c r="C544" s="11">
        <f>F543</f>
        <v/>
      </c>
      <c r="D544" s="11">
        <f>MAX(0,C544*$C$522/12)</f>
        <v/>
      </c>
      <c r="E544" s="11">
        <f>MAX(0,MIN(C544,$C$521-D544))</f>
        <v/>
      </c>
      <c r="F544" s="11">
        <f>MAX(0,C544-E544)</f>
        <v/>
      </c>
    </row>
    <row r="545">
      <c r="A545" s="34" t="n">
        <v>19</v>
      </c>
      <c r="B545" s="13" t="n">
        <v>46568</v>
      </c>
      <c r="C545" s="11">
        <f>F544</f>
        <v/>
      </c>
      <c r="D545" s="11">
        <f>MAX(0,C545*$C$522/12)</f>
        <v/>
      </c>
      <c r="E545" s="11">
        <f>MAX(0,MIN(C545,$C$521-D545))</f>
        <v/>
      </c>
      <c r="F545" s="11">
        <f>MAX(0,C545-E545)</f>
        <v/>
      </c>
    </row>
    <row r="546">
      <c r="A546" s="34" t="n">
        <v>20</v>
      </c>
      <c r="B546" s="13" t="n">
        <v>46598</v>
      </c>
      <c r="C546" s="11">
        <f>F545</f>
        <v/>
      </c>
      <c r="D546" s="11">
        <f>MAX(0,C546*$C$522/12)</f>
        <v/>
      </c>
      <c r="E546" s="11">
        <f>MAX(0,MIN(C546,$C$521-D546))</f>
        <v/>
      </c>
      <c r="F546" s="11">
        <f>MAX(0,C546-E546)</f>
        <v/>
      </c>
    </row>
    <row r="547">
      <c r="A547" s="34" t="n">
        <v>21</v>
      </c>
      <c r="B547" s="13" t="n">
        <v>46629</v>
      </c>
      <c r="C547" s="11">
        <f>F546</f>
        <v/>
      </c>
      <c r="D547" s="11">
        <f>MAX(0,C547*$C$522/12)</f>
        <v/>
      </c>
      <c r="E547" s="11">
        <f>MAX(0,MIN(C547,$C$521-D547))</f>
        <v/>
      </c>
      <c r="F547" s="11">
        <f>MAX(0,C547-E547)</f>
        <v/>
      </c>
    </row>
    <row r="548">
      <c r="A548" s="34" t="n">
        <v>22</v>
      </c>
      <c r="B548" s="13" t="n">
        <v>46660</v>
      </c>
      <c r="C548" s="11">
        <f>F547</f>
        <v/>
      </c>
      <c r="D548" s="11">
        <f>MAX(0,C548*$C$522/12)</f>
        <v/>
      </c>
      <c r="E548" s="11">
        <f>MAX(0,MIN(C548,$C$521-D548))</f>
        <v/>
      </c>
      <c r="F548" s="11">
        <f>MAX(0,C548-E548)</f>
        <v/>
      </c>
    </row>
    <row r="549">
      <c r="A549" s="34" t="n">
        <v>23</v>
      </c>
      <c r="B549" s="13" t="n">
        <v>46690</v>
      </c>
      <c r="C549" s="11">
        <f>F548</f>
        <v/>
      </c>
      <c r="D549" s="11">
        <f>MAX(0,C549*$C$522/12)</f>
        <v/>
      </c>
      <c r="E549" s="11">
        <f>MAX(0,MIN(C549,$C$521-D549))</f>
        <v/>
      </c>
      <c r="F549" s="11">
        <f>MAX(0,C549-E549)</f>
        <v/>
      </c>
    </row>
    <row r="550">
      <c r="A550" s="34" t="n">
        <v>24</v>
      </c>
      <c r="B550" s="13" t="n">
        <v>46721</v>
      </c>
      <c r="C550" s="11">
        <f>F549</f>
        <v/>
      </c>
      <c r="D550" s="11">
        <f>MAX(0,C550*$C$522/12)</f>
        <v/>
      </c>
      <c r="E550" s="11">
        <f>MAX(0,MIN(C550,$C$521-D550))</f>
        <v/>
      </c>
      <c r="F550" s="11">
        <f>MAX(0,C550-E550)</f>
        <v/>
      </c>
    </row>
    <row r="551">
      <c r="A551" s="34" t="n">
        <v>25</v>
      </c>
      <c r="B551" s="13" t="n">
        <v>46751</v>
      </c>
      <c r="C551" s="11">
        <f>F550</f>
        <v/>
      </c>
      <c r="D551" s="11">
        <f>MAX(0,C551*$C$522/12)</f>
        <v/>
      </c>
      <c r="E551" s="11">
        <f>MAX(0,MIN(C551,$C$521-D551))</f>
        <v/>
      </c>
      <c r="F551" s="11">
        <f>MAX(0,C551-E551)</f>
        <v/>
      </c>
    </row>
    <row r="552">
      <c r="A552" s="34" t="n">
        <v>26</v>
      </c>
      <c r="B552" s="13" t="n">
        <v>46782</v>
      </c>
      <c r="C552" s="11">
        <f>F551</f>
        <v/>
      </c>
      <c r="D552" s="11">
        <f>MAX(0,C552*$C$522/12)</f>
        <v/>
      </c>
      <c r="E552" s="11">
        <f>MAX(0,MIN(C552,$C$521-D552))</f>
        <v/>
      </c>
      <c r="F552" s="11">
        <f>MAX(0,C552-E552)</f>
        <v/>
      </c>
    </row>
    <row r="553">
      <c r="A553" s="34" t="n">
        <v>27</v>
      </c>
      <c r="B553" s="13" t="n">
        <v>46812</v>
      </c>
      <c r="C553" s="11">
        <f>F552</f>
        <v/>
      </c>
      <c r="D553" s="11">
        <f>MAX(0,C553*$C$522/12)</f>
        <v/>
      </c>
      <c r="E553" s="11">
        <f>MAX(0,MIN(C553,$C$521-D553))</f>
        <v/>
      </c>
      <c r="F553" s="11">
        <f>MAX(0,C553-E553)</f>
        <v/>
      </c>
    </row>
    <row r="554">
      <c r="A554" s="34" t="n">
        <v>28</v>
      </c>
      <c r="B554" s="13" t="n">
        <v>46842</v>
      </c>
      <c r="C554" s="11">
        <f>F553</f>
        <v/>
      </c>
      <c r="D554" s="11">
        <f>MAX(0,C554*$C$522/12)</f>
        <v/>
      </c>
      <c r="E554" s="11">
        <f>MAX(0,MIN(C554,$C$521-D554))</f>
        <v/>
      </c>
      <c r="F554" s="11">
        <f>MAX(0,C554-E554)</f>
        <v/>
      </c>
    </row>
    <row r="555">
      <c r="A555" s="34" t="n">
        <v>29</v>
      </c>
      <c r="B555" s="13" t="n">
        <v>46873</v>
      </c>
      <c r="C555" s="11">
        <f>F554</f>
        <v/>
      </c>
      <c r="D555" s="11">
        <f>MAX(0,C555*$C$522/12)</f>
        <v/>
      </c>
      <c r="E555" s="11">
        <f>MAX(0,MIN(C555,$C$521-D555))</f>
        <v/>
      </c>
      <c r="F555" s="11">
        <f>MAX(0,C555-E555)</f>
        <v/>
      </c>
    </row>
    <row r="556">
      <c r="A556" s="34" t="n">
        <v>30</v>
      </c>
      <c r="B556" s="13" t="n">
        <v>46903</v>
      </c>
      <c r="C556" s="11">
        <f>F555</f>
        <v/>
      </c>
      <c r="D556" s="11">
        <f>MAX(0,C556*$C$522/12)</f>
        <v/>
      </c>
      <c r="E556" s="11">
        <f>MAX(0,MIN(C556,$C$521-D556))</f>
        <v/>
      </c>
      <c r="F556" s="11">
        <f>MAX(0,C556-E556)</f>
        <v/>
      </c>
    </row>
    <row r="557">
      <c r="A557" s="34" t="n">
        <v>31</v>
      </c>
      <c r="B557" s="13" t="n">
        <v>46934</v>
      </c>
      <c r="C557" s="11">
        <f>F556</f>
        <v/>
      </c>
      <c r="D557" s="11">
        <f>MAX(0,C557*$C$522/12)</f>
        <v/>
      </c>
      <c r="E557" s="11">
        <f>MAX(0,MIN(C557,$C$521-D557))</f>
        <v/>
      </c>
      <c r="F557" s="11">
        <f>MAX(0,C557-E557)</f>
        <v/>
      </c>
    </row>
    <row r="558">
      <c r="A558" s="34" t="n">
        <v>32</v>
      </c>
      <c r="B558" s="13" t="n">
        <v>46964</v>
      </c>
      <c r="C558" s="11">
        <f>F557</f>
        <v/>
      </c>
      <c r="D558" s="11">
        <f>MAX(0,C558*$C$522/12)</f>
        <v/>
      </c>
      <c r="E558" s="11">
        <f>MAX(0,MIN(C558,$C$521-D558))</f>
        <v/>
      </c>
      <c r="F558" s="11">
        <f>MAX(0,C558-E558)</f>
        <v/>
      </c>
    </row>
    <row r="559">
      <c r="A559" s="34" t="n">
        <v>33</v>
      </c>
      <c r="B559" s="13" t="n">
        <v>46995</v>
      </c>
      <c r="C559" s="11">
        <f>F558</f>
        <v/>
      </c>
      <c r="D559" s="11">
        <f>MAX(0,C559*$C$522/12)</f>
        <v/>
      </c>
      <c r="E559" s="11">
        <f>MAX(0,MIN(C559,$C$521-D559))</f>
        <v/>
      </c>
      <c r="F559" s="11">
        <f>MAX(0,C559-E559)</f>
        <v/>
      </c>
    </row>
    <row r="560">
      <c r="A560" s="34" t="n">
        <v>34</v>
      </c>
      <c r="B560" s="13" t="n">
        <v>47026</v>
      </c>
      <c r="C560" s="11">
        <f>F559</f>
        <v/>
      </c>
      <c r="D560" s="11">
        <f>MAX(0,C560*$C$522/12)</f>
        <v/>
      </c>
      <c r="E560" s="11">
        <f>MAX(0,MIN(C560,$C$521-D560))</f>
        <v/>
      </c>
      <c r="F560" s="11">
        <f>MAX(0,C560-E560)</f>
        <v/>
      </c>
    </row>
    <row r="561">
      <c r="A561" s="34" t="n"/>
      <c r="B561" s="41" t="inlineStr">
        <is>
          <t>TOTAL</t>
        </is>
      </c>
      <c r="C561" s="34" t="n"/>
      <c r="D561" s="42">
        <f>SUM(D527:D560)</f>
        <v/>
      </c>
      <c r="E561" s="42">
        <f>SUM(E527:E560)</f>
        <v/>
      </c>
      <c r="F561" s="34" t="n"/>
    </row>
    <row r="563">
      <c r="A563" s="80" t="inlineStr">
        <is>
          <t>LOAN 15: 3 T680 (Dec 2022)</t>
        </is>
      </c>
      <c r="B563" s="81" t="n"/>
      <c r="C563" s="81" t="n"/>
      <c r="D563" s="81" t="n"/>
      <c r="E563" s="81" t="n"/>
      <c r="F563" s="81" t="n"/>
      <c r="G563" s="81" t="n"/>
    </row>
    <row r="564">
      <c r="B564" t="inlineStr">
        <is>
          <t>Loan ID</t>
        </is>
      </c>
      <c r="C564" s="2" t="inlineStr">
        <is>
          <t>05-2959-012-000-00</t>
        </is>
      </c>
    </row>
    <row r="565">
      <c r="B565" t="inlineStr">
        <is>
          <t>Account</t>
        </is>
      </c>
      <c r="C565" s="2" t="inlineStr">
        <is>
          <t>7382864</t>
        </is>
      </c>
    </row>
    <row r="566">
      <c r="B566" t="inlineStr">
        <is>
          <t>Origination Date</t>
        </is>
      </c>
      <c r="C566" s="16" t="n">
        <v>44902</v>
      </c>
    </row>
    <row r="567">
      <c r="B567" t="inlineStr">
        <is>
          <t>Maturity Date</t>
        </is>
      </c>
      <c r="C567" s="16" t="n">
        <v>47017</v>
      </c>
    </row>
    <row r="568">
      <c r="B568" t="inlineStr">
        <is>
          <t>Original Balance</t>
        </is>
      </c>
      <c r="C568" s="3" t="n">
        <v>479355</v>
      </c>
    </row>
    <row r="569">
      <c r="B569" t="inlineStr">
        <is>
          <t>Remaining Balance (Nov 30, 2025)</t>
        </is>
      </c>
      <c r="C569" s="3" t="n">
        <v>266766</v>
      </c>
    </row>
    <row r="570">
      <c r="B570" t="inlineStr">
        <is>
          <t>Monthly Payment</t>
        </is>
      </c>
      <c r="C570" s="3" t="n">
        <v>8443.540000000001</v>
      </c>
    </row>
    <row r="571">
      <c r="B571" t="inlineStr">
        <is>
          <t>Annual Interest Rate</t>
        </is>
      </c>
      <c r="C571" s="4" t="n">
        <v>0.0494</v>
      </c>
    </row>
    <row r="572">
      <c r="B572" s="6" t="inlineStr">
        <is>
          <t>Loan Type</t>
        </is>
      </c>
      <c r="C572" s="6" t="inlineStr">
        <is>
          <t>AMORTIZING</t>
        </is>
      </c>
    </row>
    <row r="573">
      <c r="B573" s="6" t="inlineStr">
        <is>
          <t>Use</t>
        </is>
      </c>
      <c r="C573" s="6" t="inlineStr">
        <is>
          <t>Equipment (Semi trucks)</t>
        </is>
      </c>
    </row>
    <row r="575">
      <c r="A575" s="23" t="inlineStr">
        <is>
          <t>Month #</t>
        </is>
      </c>
      <c r="B575" s="23" t="inlineStr">
        <is>
          <t>Date</t>
        </is>
      </c>
      <c r="C575" s="23" t="inlineStr">
        <is>
          <t>Opening Balance</t>
        </is>
      </c>
      <c r="D575" s="23" t="inlineStr">
        <is>
          <t>Interest</t>
        </is>
      </c>
      <c r="E575" s="23" t="inlineStr">
        <is>
          <t>Principal</t>
        </is>
      </c>
      <c r="F575" s="23" t="inlineStr">
        <is>
          <t>Closing Balance</t>
        </is>
      </c>
    </row>
    <row r="576">
      <c r="A576" s="34" t="n">
        <v>1</v>
      </c>
      <c r="B576" s="13" t="n">
        <v>46021</v>
      </c>
      <c r="C576" s="11">
        <f>$C$569</f>
        <v/>
      </c>
      <c r="D576" s="11">
        <f>MAX(0,C576*$C$571/12)</f>
        <v/>
      </c>
      <c r="E576" s="11">
        <f>MAX(0,MIN(C576,$C$570-D576))</f>
        <v/>
      </c>
      <c r="F576" s="11">
        <f>MAX(0,C576-E576)</f>
        <v/>
      </c>
    </row>
    <row r="577">
      <c r="A577" s="34" t="n">
        <v>2</v>
      </c>
      <c r="B577" s="13" t="n">
        <v>46052</v>
      </c>
      <c r="C577" s="11">
        <f>F576</f>
        <v/>
      </c>
      <c r="D577" s="11">
        <f>MAX(0,C577*$C$571/12)</f>
        <v/>
      </c>
      <c r="E577" s="11">
        <f>MAX(0,MIN(C577,$C$570-D577))</f>
        <v/>
      </c>
      <c r="F577" s="11">
        <f>MAX(0,C577-E577)</f>
        <v/>
      </c>
    </row>
    <row r="578">
      <c r="A578" s="34" t="n">
        <v>3</v>
      </c>
      <c r="B578" s="13" t="n">
        <v>46081</v>
      </c>
      <c r="C578" s="11">
        <f>F577</f>
        <v/>
      </c>
      <c r="D578" s="11">
        <f>MAX(0,C578*$C$571/12)</f>
        <v/>
      </c>
      <c r="E578" s="11">
        <f>MAX(0,MIN(C578,$C$570-D578))</f>
        <v/>
      </c>
      <c r="F578" s="11">
        <f>MAX(0,C578-E578)</f>
        <v/>
      </c>
    </row>
    <row r="579">
      <c r="A579" s="34" t="n">
        <v>4</v>
      </c>
      <c r="B579" s="13" t="n">
        <v>46111</v>
      </c>
      <c r="C579" s="11">
        <f>F578</f>
        <v/>
      </c>
      <c r="D579" s="11">
        <f>MAX(0,C579*$C$571/12)</f>
        <v/>
      </c>
      <c r="E579" s="11">
        <f>MAX(0,MIN(C579,$C$570-D579))</f>
        <v/>
      </c>
      <c r="F579" s="11">
        <f>MAX(0,C579-E579)</f>
        <v/>
      </c>
    </row>
    <row r="580">
      <c r="A580" s="34" t="n">
        <v>5</v>
      </c>
      <c r="B580" s="13" t="n">
        <v>46142</v>
      </c>
      <c r="C580" s="11">
        <f>F579</f>
        <v/>
      </c>
      <c r="D580" s="11">
        <f>MAX(0,C580*$C$571/12)</f>
        <v/>
      </c>
      <c r="E580" s="11">
        <f>MAX(0,MIN(C580,$C$570-D580))</f>
        <v/>
      </c>
      <c r="F580" s="11">
        <f>MAX(0,C580-E580)</f>
        <v/>
      </c>
    </row>
    <row r="581">
      <c r="A581" s="34" t="n">
        <v>6</v>
      </c>
      <c r="B581" s="13" t="n">
        <v>46172</v>
      </c>
      <c r="C581" s="11">
        <f>F580</f>
        <v/>
      </c>
      <c r="D581" s="11">
        <f>MAX(0,C581*$C$571/12)</f>
        <v/>
      </c>
      <c r="E581" s="11">
        <f>MAX(0,MIN(C581,$C$570-D581))</f>
        <v/>
      </c>
      <c r="F581" s="11">
        <f>MAX(0,C581-E581)</f>
        <v/>
      </c>
    </row>
    <row r="582">
      <c r="A582" s="34" t="n">
        <v>7</v>
      </c>
      <c r="B582" s="13" t="n">
        <v>46203</v>
      </c>
      <c r="C582" s="11">
        <f>F581</f>
        <v/>
      </c>
      <c r="D582" s="11">
        <f>MAX(0,C582*$C$571/12)</f>
        <v/>
      </c>
      <c r="E582" s="11">
        <f>MAX(0,MIN(C582,$C$570-D582))</f>
        <v/>
      </c>
      <c r="F582" s="11">
        <f>MAX(0,C582-E582)</f>
        <v/>
      </c>
    </row>
    <row r="583">
      <c r="A583" s="34" t="n">
        <v>8</v>
      </c>
      <c r="B583" s="13" t="n">
        <v>46233</v>
      </c>
      <c r="C583" s="11">
        <f>F582</f>
        <v/>
      </c>
      <c r="D583" s="11">
        <f>MAX(0,C583*$C$571/12)</f>
        <v/>
      </c>
      <c r="E583" s="11">
        <f>MAX(0,MIN(C583,$C$570-D583))</f>
        <v/>
      </c>
      <c r="F583" s="11">
        <f>MAX(0,C583-E583)</f>
        <v/>
      </c>
    </row>
    <row r="584">
      <c r="A584" s="34" t="n">
        <v>9</v>
      </c>
      <c r="B584" s="13" t="n">
        <v>46264</v>
      </c>
      <c r="C584" s="11">
        <f>F583</f>
        <v/>
      </c>
      <c r="D584" s="11">
        <f>MAX(0,C584*$C$571/12)</f>
        <v/>
      </c>
      <c r="E584" s="11">
        <f>MAX(0,MIN(C584,$C$570-D584))</f>
        <v/>
      </c>
      <c r="F584" s="11">
        <f>MAX(0,C584-E584)</f>
        <v/>
      </c>
    </row>
    <row r="585">
      <c r="A585" s="34" t="n">
        <v>10</v>
      </c>
      <c r="B585" s="13" t="n">
        <v>46295</v>
      </c>
      <c r="C585" s="11">
        <f>F584</f>
        <v/>
      </c>
      <c r="D585" s="11">
        <f>MAX(0,C585*$C$571/12)</f>
        <v/>
      </c>
      <c r="E585" s="11">
        <f>MAX(0,MIN(C585,$C$570-D585))</f>
        <v/>
      </c>
      <c r="F585" s="11">
        <f>MAX(0,C585-E585)</f>
        <v/>
      </c>
    </row>
    <row r="586">
      <c r="A586" s="34" t="n">
        <v>11</v>
      </c>
      <c r="B586" s="13" t="n">
        <v>46325</v>
      </c>
      <c r="C586" s="11">
        <f>F585</f>
        <v/>
      </c>
      <c r="D586" s="11">
        <f>MAX(0,C586*$C$571/12)</f>
        <v/>
      </c>
      <c r="E586" s="11">
        <f>MAX(0,MIN(C586,$C$570-D586))</f>
        <v/>
      </c>
      <c r="F586" s="11">
        <f>MAX(0,C586-E586)</f>
        <v/>
      </c>
    </row>
    <row r="587">
      <c r="A587" s="34" t="n">
        <v>12</v>
      </c>
      <c r="B587" s="13" t="n">
        <v>46356</v>
      </c>
      <c r="C587" s="11">
        <f>F586</f>
        <v/>
      </c>
      <c r="D587" s="11">
        <f>MAX(0,C587*$C$571/12)</f>
        <v/>
      </c>
      <c r="E587" s="11">
        <f>MAX(0,MIN(C587,$C$570-D587))</f>
        <v/>
      </c>
      <c r="F587" s="11">
        <f>MAX(0,C587-E587)</f>
        <v/>
      </c>
    </row>
    <row r="588">
      <c r="A588" s="34" t="n">
        <v>13</v>
      </c>
      <c r="B588" s="13" t="n">
        <v>46386</v>
      </c>
      <c r="C588" s="11">
        <f>F587</f>
        <v/>
      </c>
      <c r="D588" s="11">
        <f>MAX(0,C588*$C$571/12)</f>
        <v/>
      </c>
      <c r="E588" s="11">
        <f>MAX(0,MIN(C588,$C$570-D588))</f>
        <v/>
      </c>
      <c r="F588" s="11">
        <f>MAX(0,C588-E588)</f>
        <v/>
      </c>
    </row>
    <row r="589">
      <c r="A589" s="34" t="n">
        <v>14</v>
      </c>
      <c r="B589" s="13" t="n">
        <v>46417</v>
      </c>
      <c r="C589" s="11">
        <f>F588</f>
        <v/>
      </c>
      <c r="D589" s="11">
        <f>MAX(0,C589*$C$571/12)</f>
        <v/>
      </c>
      <c r="E589" s="11">
        <f>MAX(0,MIN(C589,$C$570-D589))</f>
        <v/>
      </c>
      <c r="F589" s="11">
        <f>MAX(0,C589-E589)</f>
        <v/>
      </c>
    </row>
    <row r="590">
      <c r="A590" s="34" t="n">
        <v>15</v>
      </c>
      <c r="B590" s="13" t="n">
        <v>46446</v>
      </c>
      <c r="C590" s="11">
        <f>F589</f>
        <v/>
      </c>
      <c r="D590" s="11">
        <f>MAX(0,C590*$C$571/12)</f>
        <v/>
      </c>
      <c r="E590" s="11">
        <f>MAX(0,MIN(C590,$C$570-D590))</f>
        <v/>
      </c>
      <c r="F590" s="11">
        <f>MAX(0,C590-E590)</f>
        <v/>
      </c>
    </row>
    <row r="591">
      <c r="A591" s="34" t="n">
        <v>16</v>
      </c>
      <c r="B591" s="13" t="n">
        <v>46476</v>
      </c>
      <c r="C591" s="11">
        <f>F590</f>
        <v/>
      </c>
      <c r="D591" s="11">
        <f>MAX(0,C591*$C$571/12)</f>
        <v/>
      </c>
      <c r="E591" s="11">
        <f>MAX(0,MIN(C591,$C$570-D591))</f>
        <v/>
      </c>
      <c r="F591" s="11">
        <f>MAX(0,C591-E591)</f>
        <v/>
      </c>
    </row>
    <row r="592">
      <c r="A592" s="34" t="n">
        <v>17</v>
      </c>
      <c r="B592" s="13" t="n">
        <v>46507</v>
      </c>
      <c r="C592" s="11">
        <f>F591</f>
        <v/>
      </c>
      <c r="D592" s="11">
        <f>MAX(0,C592*$C$571/12)</f>
        <v/>
      </c>
      <c r="E592" s="11">
        <f>MAX(0,MIN(C592,$C$570-D592))</f>
        <v/>
      </c>
      <c r="F592" s="11">
        <f>MAX(0,C592-E592)</f>
        <v/>
      </c>
    </row>
    <row r="593">
      <c r="A593" s="34" t="n">
        <v>18</v>
      </c>
      <c r="B593" s="13" t="n">
        <v>46537</v>
      </c>
      <c r="C593" s="11">
        <f>F592</f>
        <v/>
      </c>
      <c r="D593" s="11">
        <f>MAX(0,C593*$C$571/12)</f>
        <v/>
      </c>
      <c r="E593" s="11">
        <f>MAX(0,MIN(C593,$C$570-D593))</f>
        <v/>
      </c>
      <c r="F593" s="11">
        <f>MAX(0,C593-E593)</f>
        <v/>
      </c>
    </row>
    <row r="594">
      <c r="A594" s="34" t="n">
        <v>19</v>
      </c>
      <c r="B594" s="13" t="n">
        <v>46568</v>
      </c>
      <c r="C594" s="11">
        <f>F593</f>
        <v/>
      </c>
      <c r="D594" s="11">
        <f>MAX(0,C594*$C$571/12)</f>
        <v/>
      </c>
      <c r="E594" s="11">
        <f>MAX(0,MIN(C594,$C$570-D594))</f>
        <v/>
      </c>
      <c r="F594" s="11">
        <f>MAX(0,C594-E594)</f>
        <v/>
      </c>
    </row>
    <row r="595">
      <c r="A595" s="34" t="n">
        <v>20</v>
      </c>
      <c r="B595" s="13" t="n">
        <v>46598</v>
      </c>
      <c r="C595" s="11">
        <f>F594</f>
        <v/>
      </c>
      <c r="D595" s="11">
        <f>MAX(0,C595*$C$571/12)</f>
        <v/>
      </c>
      <c r="E595" s="11">
        <f>MAX(0,MIN(C595,$C$570-D595))</f>
        <v/>
      </c>
      <c r="F595" s="11">
        <f>MAX(0,C595-E595)</f>
        <v/>
      </c>
    </row>
    <row r="596">
      <c r="A596" s="34" t="n">
        <v>21</v>
      </c>
      <c r="B596" s="13" t="n">
        <v>46629</v>
      </c>
      <c r="C596" s="11">
        <f>F595</f>
        <v/>
      </c>
      <c r="D596" s="11">
        <f>MAX(0,C596*$C$571/12)</f>
        <v/>
      </c>
      <c r="E596" s="11">
        <f>MAX(0,MIN(C596,$C$570-D596))</f>
        <v/>
      </c>
      <c r="F596" s="11">
        <f>MAX(0,C596-E596)</f>
        <v/>
      </c>
    </row>
    <row r="597">
      <c r="A597" s="34" t="n">
        <v>22</v>
      </c>
      <c r="B597" s="13" t="n">
        <v>46660</v>
      </c>
      <c r="C597" s="11">
        <f>F596</f>
        <v/>
      </c>
      <c r="D597" s="11">
        <f>MAX(0,C597*$C$571/12)</f>
        <v/>
      </c>
      <c r="E597" s="11">
        <f>MAX(0,MIN(C597,$C$570-D597))</f>
        <v/>
      </c>
      <c r="F597" s="11">
        <f>MAX(0,C597-E597)</f>
        <v/>
      </c>
    </row>
    <row r="598">
      <c r="A598" s="34" t="n">
        <v>23</v>
      </c>
      <c r="B598" s="13" t="n">
        <v>46690</v>
      </c>
      <c r="C598" s="11">
        <f>F597</f>
        <v/>
      </c>
      <c r="D598" s="11">
        <f>MAX(0,C598*$C$571/12)</f>
        <v/>
      </c>
      <c r="E598" s="11">
        <f>MAX(0,MIN(C598,$C$570-D598))</f>
        <v/>
      </c>
      <c r="F598" s="11">
        <f>MAX(0,C598-E598)</f>
        <v/>
      </c>
    </row>
    <row r="599">
      <c r="A599" s="34" t="n">
        <v>24</v>
      </c>
      <c r="B599" s="13" t="n">
        <v>46721</v>
      </c>
      <c r="C599" s="11">
        <f>F598</f>
        <v/>
      </c>
      <c r="D599" s="11">
        <f>MAX(0,C599*$C$571/12)</f>
        <v/>
      </c>
      <c r="E599" s="11">
        <f>MAX(0,MIN(C599,$C$570-D599))</f>
        <v/>
      </c>
      <c r="F599" s="11">
        <f>MAX(0,C599-E599)</f>
        <v/>
      </c>
    </row>
    <row r="600">
      <c r="A600" s="34" t="n">
        <v>25</v>
      </c>
      <c r="B600" s="13" t="n">
        <v>46751</v>
      </c>
      <c r="C600" s="11">
        <f>F599</f>
        <v/>
      </c>
      <c r="D600" s="11">
        <f>MAX(0,C600*$C$571/12)</f>
        <v/>
      </c>
      <c r="E600" s="11">
        <f>MAX(0,MIN(C600,$C$570-D600))</f>
        <v/>
      </c>
      <c r="F600" s="11">
        <f>MAX(0,C600-E600)</f>
        <v/>
      </c>
    </row>
    <row r="601">
      <c r="A601" s="34" t="n">
        <v>26</v>
      </c>
      <c r="B601" s="13" t="n">
        <v>46782</v>
      </c>
      <c r="C601" s="11">
        <f>F600</f>
        <v/>
      </c>
      <c r="D601" s="11">
        <f>MAX(0,C601*$C$571/12)</f>
        <v/>
      </c>
      <c r="E601" s="11">
        <f>MAX(0,MIN(C601,$C$570-D601))</f>
        <v/>
      </c>
      <c r="F601" s="11">
        <f>MAX(0,C601-E601)</f>
        <v/>
      </c>
    </row>
    <row r="602">
      <c r="A602" s="34" t="n">
        <v>27</v>
      </c>
      <c r="B602" s="13" t="n">
        <v>46812</v>
      </c>
      <c r="C602" s="11">
        <f>F601</f>
        <v/>
      </c>
      <c r="D602" s="11">
        <f>MAX(0,C602*$C$571/12)</f>
        <v/>
      </c>
      <c r="E602" s="11">
        <f>MAX(0,MIN(C602,$C$570-D602))</f>
        <v/>
      </c>
      <c r="F602" s="11">
        <f>MAX(0,C602-E602)</f>
        <v/>
      </c>
    </row>
    <row r="603">
      <c r="A603" s="34" t="n">
        <v>28</v>
      </c>
      <c r="B603" s="13" t="n">
        <v>46842</v>
      </c>
      <c r="C603" s="11">
        <f>F602</f>
        <v/>
      </c>
      <c r="D603" s="11">
        <f>MAX(0,C603*$C$571/12)</f>
        <v/>
      </c>
      <c r="E603" s="11">
        <f>MAX(0,MIN(C603,$C$570-D603))</f>
        <v/>
      </c>
      <c r="F603" s="11">
        <f>MAX(0,C603-E603)</f>
        <v/>
      </c>
    </row>
    <row r="604">
      <c r="A604" s="34" t="n">
        <v>29</v>
      </c>
      <c r="B604" s="13" t="n">
        <v>46873</v>
      </c>
      <c r="C604" s="11">
        <f>F603</f>
        <v/>
      </c>
      <c r="D604" s="11">
        <f>MAX(0,C604*$C$571/12)</f>
        <v/>
      </c>
      <c r="E604" s="11">
        <f>MAX(0,MIN(C604,$C$570-D604))</f>
        <v/>
      </c>
      <c r="F604" s="11">
        <f>MAX(0,C604-E604)</f>
        <v/>
      </c>
    </row>
    <row r="605">
      <c r="A605" s="34" t="n">
        <v>30</v>
      </c>
      <c r="B605" s="13" t="n">
        <v>46903</v>
      </c>
      <c r="C605" s="11">
        <f>F604</f>
        <v/>
      </c>
      <c r="D605" s="11">
        <f>MAX(0,C605*$C$571/12)</f>
        <v/>
      </c>
      <c r="E605" s="11">
        <f>MAX(0,MIN(C605,$C$570-D605))</f>
        <v/>
      </c>
      <c r="F605" s="11">
        <f>MAX(0,C605-E605)</f>
        <v/>
      </c>
    </row>
    <row r="606">
      <c r="A606" s="34" t="n">
        <v>31</v>
      </c>
      <c r="B606" s="13" t="n">
        <v>46934</v>
      </c>
      <c r="C606" s="11">
        <f>F605</f>
        <v/>
      </c>
      <c r="D606" s="11">
        <f>MAX(0,C606*$C$571/12)</f>
        <v/>
      </c>
      <c r="E606" s="11">
        <f>MAX(0,MIN(C606,$C$570-D606))</f>
        <v/>
      </c>
      <c r="F606" s="11">
        <f>MAX(0,C606-E606)</f>
        <v/>
      </c>
    </row>
    <row r="607">
      <c r="A607" s="34" t="n">
        <v>32</v>
      </c>
      <c r="B607" s="13" t="n">
        <v>46964</v>
      </c>
      <c r="C607" s="11">
        <f>F606</f>
        <v/>
      </c>
      <c r="D607" s="11">
        <f>MAX(0,C607*$C$571/12)</f>
        <v/>
      </c>
      <c r="E607" s="11">
        <f>MAX(0,MIN(C607,$C$570-D607))</f>
        <v/>
      </c>
      <c r="F607" s="11">
        <f>MAX(0,C607-E607)</f>
        <v/>
      </c>
    </row>
    <row r="608">
      <c r="A608" s="34" t="n">
        <v>33</v>
      </c>
      <c r="B608" s="13" t="n">
        <v>46995</v>
      </c>
      <c r="C608" s="11">
        <f>F607</f>
        <v/>
      </c>
      <c r="D608" s="11">
        <f>MAX(0,C608*$C$571/12)</f>
        <v/>
      </c>
      <c r="E608" s="11">
        <f>MAX(0,MIN(C608,$C$570-D608))</f>
        <v/>
      </c>
      <c r="F608" s="11">
        <f>MAX(0,C608-E608)</f>
        <v/>
      </c>
    </row>
    <row r="609">
      <c r="A609" s="34" t="n">
        <v>34</v>
      </c>
      <c r="B609" s="13" t="n">
        <v>47026</v>
      </c>
      <c r="C609" s="11">
        <f>F608</f>
        <v/>
      </c>
      <c r="D609" s="11">
        <f>MAX(0,C609*$C$571/12)</f>
        <v/>
      </c>
      <c r="E609" s="11">
        <f>MAX(0,MIN(C609,$C$570-D609))</f>
        <v/>
      </c>
      <c r="F609" s="11">
        <f>MAX(0,C609-E609)</f>
        <v/>
      </c>
    </row>
    <row r="610">
      <c r="A610" s="34" t="n"/>
      <c r="B610" s="41" t="inlineStr">
        <is>
          <t>TOTAL</t>
        </is>
      </c>
      <c r="C610" s="34" t="n"/>
      <c r="D610" s="42">
        <f>SUM(D576:D609)</f>
        <v/>
      </c>
      <c r="E610" s="42">
        <f>SUM(E576:E609)</f>
        <v/>
      </c>
      <c r="F610" s="34" t="n"/>
    </row>
    <row r="612">
      <c r="A612" s="80" t="inlineStr">
        <is>
          <t>LOAN 16: 3 T680 (Dec 2022)</t>
        </is>
      </c>
      <c r="B612" s="81" t="n"/>
      <c r="C612" s="81" t="n"/>
      <c r="D612" s="81" t="n"/>
      <c r="E612" s="81" t="n"/>
      <c r="F612" s="81" t="n"/>
      <c r="G612" s="81" t="n"/>
    </row>
    <row r="613">
      <c r="B613" t="inlineStr">
        <is>
          <t>Loan ID</t>
        </is>
      </c>
      <c r="C613" s="2" t="inlineStr">
        <is>
          <t>05-2959-013-000-00</t>
        </is>
      </c>
    </row>
    <row r="614">
      <c r="B614" t="inlineStr">
        <is>
          <t>Account</t>
        </is>
      </c>
      <c r="C614" s="2" t="inlineStr">
        <is>
          <t>7383110</t>
        </is>
      </c>
    </row>
    <row r="615">
      <c r="B615" t="inlineStr">
        <is>
          <t>Origination Date</t>
        </is>
      </c>
      <c r="C615" s="16" t="n">
        <v>44911</v>
      </c>
    </row>
    <row r="616">
      <c r="B616" t="inlineStr">
        <is>
          <t>Maturity Date</t>
        </is>
      </c>
      <c r="C616" s="16" t="n">
        <v>47026</v>
      </c>
    </row>
    <row r="617">
      <c r="B617" t="inlineStr">
        <is>
          <t>Original Balance</t>
        </is>
      </c>
      <c r="C617" s="3" t="n">
        <v>479355</v>
      </c>
    </row>
    <row r="618">
      <c r="B618" t="inlineStr">
        <is>
          <t>Remaining Balance (Nov 30, 2025)</t>
        </is>
      </c>
      <c r="C618" s="3" t="n">
        <v>266415</v>
      </c>
    </row>
    <row r="619">
      <c r="B619" t="inlineStr">
        <is>
          <t>Monthly Payment</t>
        </is>
      </c>
      <c r="C619" s="3" t="n">
        <v>8443.540000000001</v>
      </c>
    </row>
    <row r="620">
      <c r="B620" t="inlineStr">
        <is>
          <t>Annual Interest Rate</t>
        </is>
      </c>
      <c r="C620" s="4" t="n">
        <v>0.0494</v>
      </c>
    </row>
    <row r="621">
      <c r="B621" s="6" t="inlineStr">
        <is>
          <t>Loan Type</t>
        </is>
      </c>
      <c r="C621" s="6" t="inlineStr">
        <is>
          <t>AMORTIZING</t>
        </is>
      </c>
    </row>
    <row r="622">
      <c r="B622" s="6" t="inlineStr">
        <is>
          <t>Use</t>
        </is>
      </c>
      <c r="C622" s="6" t="inlineStr">
        <is>
          <t>Equipment (Semi trucks)</t>
        </is>
      </c>
    </row>
    <row r="624">
      <c r="A624" s="23" t="inlineStr">
        <is>
          <t>Month #</t>
        </is>
      </c>
      <c r="B624" s="23" t="inlineStr">
        <is>
          <t>Date</t>
        </is>
      </c>
      <c r="C624" s="23" t="inlineStr">
        <is>
          <t>Opening Balance</t>
        </is>
      </c>
      <c r="D624" s="23" t="inlineStr">
        <is>
          <t>Interest</t>
        </is>
      </c>
      <c r="E624" s="23" t="inlineStr">
        <is>
          <t>Principal</t>
        </is>
      </c>
      <c r="F624" s="23" t="inlineStr">
        <is>
          <t>Closing Balance</t>
        </is>
      </c>
    </row>
    <row r="625">
      <c r="A625" s="34" t="n">
        <v>1</v>
      </c>
      <c r="B625" s="13" t="n">
        <v>46021</v>
      </c>
      <c r="C625" s="11">
        <f>$C$618</f>
        <v/>
      </c>
      <c r="D625" s="11">
        <f>MAX(0,C625*$C$620/12)</f>
        <v/>
      </c>
      <c r="E625" s="11">
        <f>MAX(0,MIN(C625,$C$619-D625))</f>
        <v/>
      </c>
      <c r="F625" s="11">
        <f>MAX(0,C625-E625)</f>
        <v/>
      </c>
    </row>
    <row r="626">
      <c r="A626" s="34" t="n">
        <v>2</v>
      </c>
      <c r="B626" s="13" t="n">
        <v>46052</v>
      </c>
      <c r="C626" s="11">
        <f>F625</f>
        <v/>
      </c>
      <c r="D626" s="11">
        <f>MAX(0,C626*$C$620/12)</f>
        <v/>
      </c>
      <c r="E626" s="11">
        <f>MAX(0,MIN(C626,$C$619-D626))</f>
        <v/>
      </c>
      <c r="F626" s="11">
        <f>MAX(0,C626-E626)</f>
        <v/>
      </c>
    </row>
    <row r="627">
      <c r="A627" s="34" t="n">
        <v>3</v>
      </c>
      <c r="B627" s="13" t="n">
        <v>46081</v>
      </c>
      <c r="C627" s="11">
        <f>F626</f>
        <v/>
      </c>
      <c r="D627" s="11">
        <f>MAX(0,C627*$C$620/12)</f>
        <v/>
      </c>
      <c r="E627" s="11">
        <f>MAX(0,MIN(C627,$C$619-D627))</f>
        <v/>
      </c>
      <c r="F627" s="11">
        <f>MAX(0,C627-E627)</f>
        <v/>
      </c>
    </row>
    <row r="628">
      <c r="A628" s="34" t="n">
        <v>4</v>
      </c>
      <c r="B628" s="13" t="n">
        <v>46111</v>
      </c>
      <c r="C628" s="11">
        <f>F627</f>
        <v/>
      </c>
      <c r="D628" s="11">
        <f>MAX(0,C628*$C$620/12)</f>
        <v/>
      </c>
      <c r="E628" s="11">
        <f>MAX(0,MIN(C628,$C$619-D628))</f>
        <v/>
      </c>
      <c r="F628" s="11">
        <f>MAX(0,C628-E628)</f>
        <v/>
      </c>
    </row>
    <row r="629">
      <c r="A629" s="34" t="n">
        <v>5</v>
      </c>
      <c r="B629" s="13" t="n">
        <v>46142</v>
      </c>
      <c r="C629" s="11">
        <f>F628</f>
        <v/>
      </c>
      <c r="D629" s="11">
        <f>MAX(0,C629*$C$620/12)</f>
        <v/>
      </c>
      <c r="E629" s="11">
        <f>MAX(0,MIN(C629,$C$619-D629))</f>
        <v/>
      </c>
      <c r="F629" s="11">
        <f>MAX(0,C629-E629)</f>
        <v/>
      </c>
    </row>
    <row r="630">
      <c r="A630" s="34" t="n">
        <v>6</v>
      </c>
      <c r="B630" s="13" t="n">
        <v>46172</v>
      </c>
      <c r="C630" s="11">
        <f>F629</f>
        <v/>
      </c>
      <c r="D630" s="11">
        <f>MAX(0,C630*$C$620/12)</f>
        <v/>
      </c>
      <c r="E630" s="11">
        <f>MAX(0,MIN(C630,$C$619-D630))</f>
        <v/>
      </c>
      <c r="F630" s="11">
        <f>MAX(0,C630-E630)</f>
        <v/>
      </c>
    </row>
    <row r="631">
      <c r="A631" s="34" t="n">
        <v>7</v>
      </c>
      <c r="B631" s="13" t="n">
        <v>46203</v>
      </c>
      <c r="C631" s="11">
        <f>F630</f>
        <v/>
      </c>
      <c r="D631" s="11">
        <f>MAX(0,C631*$C$620/12)</f>
        <v/>
      </c>
      <c r="E631" s="11">
        <f>MAX(0,MIN(C631,$C$619-D631))</f>
        <v/>
      </c>
      <c r="F631" s="11">
        <f>MAX(0,C631-E631)</f>
        <v/>
      </c>
    </row>
    <row r="632">
      <c r="A632" s="34" t="n">
        <v>8</v>
      </c>
      <c r="B632" s="13" t="n">
        <v>46233</v>
      </c>
      <c r="C632" s="11">
        <f>F631</f>
        <v/>
      </c>
      <c r="D632" s="11">
        <f>MAX(0,C632*$C$620/12)</f>
        <v/>
      </c>
      <c r="E632" s="11">
        <f>MAX(0,MIN(C632,$C$619-D632))</f>
        <v/>
      </c>
      <c r="F632" s="11">
        <f>MAX(0,C632-E632)</f>
        <v/>
      </c>
    </row>
    <row r="633">
      <c r="A633" s="34" t="n">
        <v>9</v>
      </c>
      <c r="B633" s="13" t="n">
        <v>46264</v>
      </c>
      <c r="C633" s="11">
        <f>F632</f>
        <v/>
      </c>
      <c r="D633" s="11">
        <f>MAX(0,C633*$C$620/12)</f>
        <v/>
      </c>
      <c r="E633" s="11">
        <f>MAX(0,MIN(C633,$C$619-D633))</f>
        <v/>
      </c>
      <c r="F633" s="11">
        <f>MAX(0,C633-E633)</f>
        <v/>
      </c>
    </row>
    <row r="634">
      <c r="A634" s="34" t="n">
        <v>10</v>
      </c>
      <c r="B634" s="13" t="n">
        <v>46295</v>
      </c>
      <c r="C634" s="11">
        <f>F633</f>
        <v/>
      </c>
      <c r="D634" s="11">
        <f>MAX(0,C634*$C$620/12)</f>
        <v/>
      </c>
      <c r="E634" s="11">
        <f>MAX(0,MIN(C634,$C$619-D634))</f>
        <v/>
      </c>
      <c r="F634" s="11">
        <f>MAX(0,C634-E634)</f>
        <v/>
      </c>
    </row>
    <row r="635">
      <c r="A635" s="34" t="n">
        <v>11</v>
      </c>
      <c r="B635" s="13" t="n">
        <v>46325</v>
      </c>
      <c r="C635" s="11">
        <f>F634</f>
        <v/>
      </c>
      <c r="D635" s="11">
        <f>MAX(0,C635*$C$620/12)</f>
        <v/>
      </c>
      <c r="E635" s="11">
        <f>MAX(0,MIN(C635,$C$619-D635))</f>
        <v/>
      </c>
      <c r="F635" s="11">
        <f>MAX(0,C635-E635)</f>
        <v/>
      </c>
    </row>
    <row r="636">
      <c r="A636" s="34" t="n">
        <v>12</v>
      </c>
      <c r="B636" s="13" t="n">
        <v>46356</v>
      </c>
      <c r="C636" s="11">
        <f>F635</f>
        <v/>
      </c>
      <c r="D636" s="11">
        <f>MAX(0,C636*$C$620/12)</f>
        <v/>
      </c>
      <c r="E636" s="11">
        <f>MAX(0,MIN(C636,$C$619-D636))</f>
        <v/>
      </c>
      <c r="F636" s="11">
        <f>MAX(0,C636-E636)</f>
        <v/>
      </c>
    </row>
    <row r="637">
      <c r="A637" s="34" t="n">
        <v>13</v>
      </c>
      <c r="B637" s="13" t="n">
        <v>46386</v>
      </c>
      <c r="C637" s="11">
        <f>F636</f>
        <v/>
      </c>
      <c r="D637" s="11">
        <f>MAX(0,C637*$C$620/12)</f>
        <v/>
      </c>
      <c r="E637" s="11">
        <f>MAX(0,MIN(C637,$C$619-D637))</f>
        <v/>
      </c>
      <c r="F637" s="11">
        <f>MAX(0,C637-E637)</f>
        <v/>
      </c>
    </row>
    <row r="638">
      <c r="A638" s="34" t="n">
        <v>14</v>
      </c>
      <c r="B638" s="13" t="n">
        <v>46417</v>
      </c>
      <c r="C638" s="11">
        <f>F637</f>
        <v/>
      </c>
      <c r="D638" s="11">
        <f>MAX(0,C638*$C$620/12)</f>
        <v/>
      </c>
      <c r="E638" s="11">
        <f>MAX(0,MIN(C638,$C$619-D638))</f>
        <v/>
      </c>
      <c r="F638" s="11">
        <f>MAX(0,C638-E638)</f>
        <v/>
      </c>
    </row>
    <row r="639">
      <c r="A639" s="34" t="n">
        <v>15</v>
      </c>
      <c r="B639" s="13" t="n">
        <v>46446</v>
      </c>
      <c r="C639" s="11">
        <f>F638</f>
        <v/>
      </c>
      <c r="D639" s="11">
        <f>MAX(0,C639*$C$620/12)</f>
        <v/>
      </c>
      <c r="E639" s="11">
        <f>MAX(0,MIN(C639,$C$619-D639))</f>
        <v/>
      </c>
      <c r="F639" s="11">
        <f>MAX(0,C639-E639)</f>
        <v/>
      </c>
    </row>
    <row r="640">
      <c r="A640" s="34" t="n">
        <v>16</v>
      </c>
      <c r="B640" s="13" t="n">
        <v>46476</v>
      </c>
      <c r="C640" s="11">
        <f>F639</f>
        <v/>
      </c>
      <c r="D640" s="11">
        <f>MAX(0,C640*$C$620/12)</f>
        <v/>
      </c>
      <c r="E640" s="11">
        <f>MAX(0,MIN(C640,$C$619-D640))</f>
        <v/>
      </c>
      <c r="F640" s="11">
        <f>MAX(0,C640-E640)</f>
        <v/>
      </c>
    </row>
    <row r="641">
      <c r="A641" s="34" t="n">
        <v>17</v>
      </c>
      <c r="B641" s="13" t="n">
        <v>46507</v>
      </c>
      <c r="C641" s="11">
        <f>F640</f>
        <v/>
      </c>
      <c r="D641" s="11">
        <f>MAX(0,C641*$C$620/12)</f>
        <v/>
      </c>
      <c r="E641" s="11">
        <f>MAX(0,MIN(C641,$C$619-D641))</f>
        <v/>
      </c>
      <c r="F641" s="11">
        <f>MAX(0,C641-E641)</f>
        <v/>
      </c>
    </row>
    <row r="642">
      <c r="A642" s="34" t="n">
        <v>18</v>
      </c>
      <c r="B642" s="13" t="n">
        <v>46537</v>
      </c>
      <c r="C642" s="11">
        <f>F641</f>
        <v/>
      </c>
      <c r="D642" s="11">
        <f>MAX(0,C642*$C$620/12)</f>
        <v/>
      </c>
      <c r="E642" s="11">
        <f>MAX(0,MIN(C642,$C$619-D642))</f>
        <v/>
      </c>
      <c r="F642" s="11">
        <f>MAX(0,C642-E642)</f>
        <v/>
      </c>
    </row>
    <row r="643">
      <c r="A643" s="34" t="n">
        <v>19</v>
      </c>
      <c r="B643" s="13" t="n">
        <v>46568</v>
      </c>
      <c r="C643" s="11">
        <f>F642</f>
        <v/>
      </c>
      <c r="D643" s="11">
        <f>MAX(0,C643*$C$620/12)</f>
        <v/>
      </c>
      <c r="E643" s="11">
        <f>MAX(0,MIN(C643,$C$619-D643))</f>
        <v/>
      </c>
      <c r="F643" s="11">
        <f>MAX(0,C643-E643)</f>
        <v/>
      </c>
    </row>
    <row r="644">
      <c r="A644" s="34" t="n">
        <v>20</v>
      </c>
      <c r="B644" s="13" t="n">
        <v>46598</v>
      </c>
      <c r="C644" s="11">
        <f>F643</f>
        <v/>
      </c>
      <c r="D644" s="11">
        <f>MAX(0,C644*$C$620/12)</f>
        <v/>
      </c>
      <c r="E644" s="11">
        <f>MAX(0,MIN(C644,$C$619-D644))</f>
        <v/>
      </c>
      <c r="F644" s="11">
        <f>MAX(0,C644-E644)</f>
        <v/>
      </c>
    </row>
    <row r="645">
      <c r="A645" s="34" t="n">
        <v>21</v>
      </c>
      <c r="B645" s="13" t="n">
        <v>46629</v>
      </c>
      <c r="C645" s="11">
        <f>F644</f>
        <v/>
      </c>
      <c r="D645" s="11">
        <f>MAX(0,C645*$C$620/12)</f>
        <v/>
      </c>
      <c r="E645" s="11">
        <f>MAX(0,MIN(C645,$C$619-D645))</f>
        <v/>
      </c>
      <c r="F645" s="11">
        <f>MAX(0,C645-E645)</f>
        <v/>
      </c>
    </row>
    <row r="646">
      <c r="A646" s="34" t="n">
        <v>22</v>
      </c>
      <c r="B646" s="13" t="n">
        <v>46660</v>
      </c>
      <c r="C646" s="11">
        <f>F645</f>
        <v/>
      </c>
      <c r="D646" s="11">
        <f>MAX(0,C646*$C$620/12)</f>
        <v/>
      </c>
      <c r="E646" s="11">
        <f>MAX(0,MIN(C646,$C$619-D646))</f>
        <v/>
      </c>
      <c r="F646" s="11">
        <f>MAX(0,C646-E646)</f>
        <v/>
      </c>
    </row>
    <row r="647">
      <c r="A647" s="34" t="n">
        <v>23</v>
      </c>
      <c r="B647" s="13" t="n">
        <v>46690</v>
      </c>
      <c r="C647" s="11">
        <f>F646</f>
        <v/>
      </c>
      <c r="D647" s="11">
        <f>MAX(0,C647*$C$620/12)</f>
        <v/>
      </c>
      <c r="E647" s="11">
        <f>MAX(0,MIN(C647,$C$619-D647))</f>
        <v/>
      </c>
      <c r="F647" s="11">
        <f>MAX(0,C647-E647)</f>
        <v/>
      </c>
    </row>
    <row r="648">
      <c r="A648" s="34" t="n">
        <v>24</v>
      </c>
      <c r="B648" s="13" t="n">
        <v>46721</v>
      </c>
      <c r="C648" s="11">
        <f>F647</f>
        <v/>
      </c>
      <c r="D648" s="11">
        <f>MAX(0,C648*$C$620/12)</f>
        <v/>
      </c>
      <c r="E648" s="11">
        <f>MAX(0,MIN(C648,$C$619-D648))</f>
        <v/>
      </c>
      <c r="F648" s="11">
        <f>MAX(0,C648-E648)</f>
        <v/>
      </c>
    </row>
    <row r="649">
      <c r="A649" s="34" t="n">
        <v>25</v>
      </c>
      <c r="B649" s="13" t="n">
        <v>46751</v>
      </c>
      <c r="C649" s="11">
        <f>F648</f>
        <v/>
      </c>
      <c r="D649" s="11">
        <f>MAX(0,C649*$C$620/12)</f>
        <v/>
      </c>
      <c r="E649" s="11">
        <f>MAX(0,MIN(C649,$C$619-D649))</f>
        <v/>
      </c>
      <c r="F649" s="11">
        <f>MAX(0,C649-E649)</f>
        <v/>
      </c>
    </row>
    <row r="650">
      <c r="A650" s="34" t="n">
        <v>26</v>
      </c>
      <c r="B650" s="13" t="n">
        <v>46782</v>
      </c>
      <c r="C650" s="11">
        <f>F649</f>
        <v/>
      </c>
      <c r="D650" s="11">
        <f>MAX(0,C650*$C$620/12)</f>
        <v/>
      </c>
      <c r="E650" s="11">
        <f>MAX(0,MIN(C650,$C$619-D650))</f>
        <v/>
      </c>
      <c r="F650" s="11">
        <f>MAX(0,C650-E650)</f>
        <v/>
      </c>
    </row>
    <row r="651">
      <c r="A651" s="34" t="n">
        <v>27</v>
      </c>
      <c r="B651" s="13" t="n">
        <v>46812</v>
      </c>
      <c r="C651" s="11">
        <f>F650</f>
        <v/>
      </c>
      <c r="D651" s="11">
        <f>MAX(0,C651*$C$620/12)</f>
        <v/>
      </c>
      <c r="E651" s="11">
        <f>MAX(0,MIN(C651,$C$619-D651))</f>
        <v/>
      </c>
      <c r="F651" s="11">
        <f>MAX(0,C651-E651)</f>
        <v/>
      </c>
    </row>
    <row r="652">
      <c r="A652" s="34" t="n">
        <v>28</v>
      </c>
      <c r="B652" s="13" t="n">
        <v>46842</v>
      </c>
      <c r="C652" s="11">
        <f>F651</f>
        <v/>
      </c>
      <c r="D652" s="11">
        <f>MAX(0,C652*$C$620/12)</f>
        <v/>
      </c>
      <c r="E652" s="11">
        <f>MAX(0,MIN(C652,$C$619-D652))</f>
        <v/>
      </c>
      <c r="F652" s="11">
        <f>MAX(0,C652-E652)</f>
        <v/>
      </c>
    </row>
    <row r="653">
      <c r="A653" s="34" t="n">
        <v>29</v>
      </c>
      <c r="B653" s="13" t="n">
        <v>46873</v>
      </c>
      <c r="C653" s="11">
        <f>F652</f>
        <v/>
      </c>
      <c r="D653" s="11">
        <f>MAX(0,C653*$C$620/12)</f>
        <v/>
      </c>
      <c r="E653" s="11">
        <f>MAX(0,MIN(C653,$C$619-D653))</f>
        <v/>
      </c>
      <c r="F653" s="11">
        <f>MAX(0,C653-E653)</f>
        <v/>
      </c>
    </row>
    <row r="654">
      <c r="A654" s="34" t="n">
        <v>30</v>
      </c>
      <c r="B654" s="13" t="n">
        <v>46903</v>
      </c>
      <c r="C654" s="11">
        <f>F653</f>
        <v/>
      </c>
      <c r="D654" s="11">
        <f>MAX(0,C654*$C$620/12)</f>
        <v/>
      </c>
      <c r="E654" s="11">
        <f>MAX(0,MIN(C654,$C$619-D654))</f>
        <v/>
      </c>
      <c r="F654" s="11">
        <f>MAX(0,C654-E654)</f>
        <v/>
      </c>
    </row>
    <row r="655">
      <c r="A655" s="34" t="n">
        <v>31</v>
      </c>
      <c r="B655" s="13" t="n">
        <v>46934</v>
      </c>
      <c r="C655" s="11">
        <f>F654</f>
        <v/>
      </c>
      <c r="D655" s="11">
        <f>MAX(0,C655*$C$620/12)</f>
        <v/>
      </c>
      <c r="E655" s="11">
        <f>MAX(0,MIN(C655,$C$619-D655))</f>
        <v/>
      </c>
      <c r="F655" s="11">
        <f>MAX(0,C655-E655)</f>
        <v/>
      </c>
    </row>
    <row r="656">
      <c r="A656" s="34" t="n">
        <v>32</v>
      </c>
      <c r="B656" s="13" t="n">
        <v>46964</v>
      </c>
      <c r="C656" s="11">
        <f>F655</f>
        <v/>
      </c>
      <c r="D656" s="11">
        <f>MAX(0,C656*$C$620/12)</f>
        <v/>
      </c>
      <c r="E656" s="11">
        <f>MAX(0,MIN(C656,$C$619-D656))</f>
        <v/>
      </c>
      <c r="F656" s="11">
        <f>MAX(0,C656-E656)</f>
        <v/>
      </c>
    </row>
    <row r="657">
      <c r="A657" s="34" t="n">
        <v>33</v>
      </c>
      <c r="B657" s="13" t="n">
        <v>46995</v>
      </c>
      <c r="C657" s="11">
        <f>F656</f>
        <v/>
      </c>
      <c r="D657" s="11">
        <f>MAX(0,C657*$C$620/12)</f>
        <v/>
      </c>
      <c r="E657" s="11">
        <f>MAX(0,MIN(C657,$C$619-D657))</f>
        <v/>
      </c>
      <c r="F657" s="11">
        <f>MAX(0,C657-E657)</f>
        <v/>
      </c>
    </row>
    <row r="658">
      <c r="A658" s="34" t="n">
        <v>34</v>
      </c>
      <c r="B658" s="13" t="n">
        <v>47026</v>
      </c>
      <c r="C658" s="11">
        <f>F657</f>
        <v/>
      </c>
      <c r="D658" s="11">
        <f>MAX(0,C658*$C$620/12)</f>
        <v/>
      </c>
      <c r="E658" s="11">
        <f>MAX(0,MIN(C658,$C$619-D658))</f>
        <v/>
      </c>
      <c r="F658" s="11">
        <f>MAX(0,C658-E658)</f>
        <v/>
      </c>
    </row>
    <row r="659">
      <c r="A659" s="34" t="n"/>
      <c r="B659" s="41" t="inlineStr">
        <is>
          <t>TOTAL</t>
        </is>
      </c>
      <c r="C659" s="34" t="n"/>
      <c r="D659" s="42">
        <f>SUM(D625:D658)</f>
        <v/>
      </c>
      <c r="E659" s="42">
        <f>SUM(E625:E658)</f>
        <v/>
      </c>
      <c r="F659" s="34" t="n"/>
    </row>
    <row r="661">
      <c r="A661" s="80" t="inlineStr">
        <is>
          <t>LOAN 17: 7 T680 (May 2023)</t>
        </is>
      </c>
      <c r="B661" s="81" t="n"/>
      <c r="C661" s="81" t="n"/>
      <c r="D661" s="81" t="n"/>
      <c r="E661" s="81" t="n"/>
      <c r="F661" s="81" t="n"/>
      <c r="G661" s="81" t="n"/>
    </row>
    <row r="662">
      <c r="B662" t="inlineStr">
        <is>
          <t>Loan ID</t>
        </is>
      </c>
      <c r="C662" s="2" t="inlineStr">
        <is>
          <t>05-2959-014-000-00</t>
        </is>
      </c>
    </row>
    <row r="663">
      <c r="B663" t="inlineStr">
        <is>
          <t>Account</t>
        </is>
      </c>
      <c r="C663" s="2" t="inlineStr">
        <is>
          <t>7411739</t>
        </is>
      </c>
    </row>
    <row r="664">
      <c r="B664" t="inlineStr">
        <is>
          <t>Origination Date</t>
        </is>
      </c>
      <c r="C664" s="16" t="n">
        <v>45070</v>
      </c>
    </row>
    <row r="665">
      <c r="B665" t="inlineStr">
        <is>
          <t>Maturity Date</t>
        </is>
      </c>
      <c r="C665" s="16" t="n">
        <v>46820</v>
      </c>
    </row>
    <row r="666">
      <c r="B666" t="inlineStr">
        <is>
          <t>Original Balance</t>
        </is>
      </c>
      <c r="C666" s="3" t="n">
        <v>1252080</v>
      </c>
    </row>
    <row r="667">
      <c r="B667" t="inlineStr">
        <is>
          <t>Remaining Balance (Nov 30, 2025)</t>
        </is>
      </c>
      <c r="C667" s="3" t="n">
        <v>825343</v>
      </c>
    </row>
    <row r="668">
      <c r="B668" t="inlineStr">
        <is>
          <t>Monthly Payment</t>
        </is>
      </c>
      <c r="C668" s="3" t="n">
        <v>22964.37</v>
      </c>
    </row>
    <row r="669">
      <c r="B669" t="inlineStr">
        <is>
          <t>Annual Interest Rate</t>
        </is>
      </c>
      <c r="C669" s="4" t="n">
        <v>0.0636</v>
      </c>
    </row>
    <row r="670">
      <c r="B670" s="6" t="inlineStr">
        <is>
          <t>Loan Type</t>
        </is>
      </c>
      <c r="C670" s="6" t="inlineStr">
        <is>
          <t>AMORTIZING</t>
        </is>
      </c>
    </row>
    <row r="671">
      <c r="B671" s="6" t="inlineStr">
        <is>
          <t>Use</t>
        </is>
      </c>
      <c r="C671" s="6" t="inlineStr">
        <is>
          <t>Equipment (Semi trucks)</t>
        </is>
      </c>
    </row>
    <row r="673">
      <c r="A673" s="23" t="inlineStr">
        <is>
          <t>Month #</t>
        </is>
      </c>
      <c r="B673" s="23" t="inlineStr">
        <is>
          <t>Date</t>
        </is>
      </c>
      <c r="C673" s="23" t="inlineStr">
        <is>
          <t>Opening Balance</t>
        </is>
      </c>
      <c r="D673" s="23" t="inlineStr">
        <is>
          <t>Interest</t>
        </is>
      </c>
      <c r="E673" s="23" t="inlineStr">
        <is>
          <t>Principal</t>
        </is>
      </c>
      <c r="F673" s="23" t="inlineStr">
        <is>
          <t>Closing Balance</t>
        </is>
      </c>
    </row>
    <row r="674">
      <c r="A674" s="34" t="n">
        <v>1</v>
      </c>
      <c r="B674" s="13" t="n">
        <v>46021</v>
      </c>
      <c r="C674" s="11">
        <f>$C$667</f>
        <v/>
      </c>
      <c r="D674" s="11">
        <f>MAX(0,C674*$C$669/12)</f>
        <v/>
      </c>
      <c r="E674" s="11">
        <f>MAX(0,MIN(C674,$C$668-D674))</f>
        <v/>
      </c>
      <c r="F674" s="11">
        <f>MAX(0,C674-E674)</f>
        <v/>
      </c>
    </row>
    <row r="675">
      <c r="A675" s="34" t="n">
        <v>2</v>
      </c>
      <c r="B675" s="13" t="n">
        <v>46052</v>
      </c>
      <c r="C675" s="11">
        <f>F674</f>
        <v/>
      </c>
      <c r="D675" s="11">
        <f>MAX(0,C675*$C$669/12)</f>
        <v/>
      </c>
      <c r="E675" s="11">
        <f>MAX(0,MIN(C675,$C$668-D675))</f>
        <v/>
      </c>
      <c r="F675" s="11">
        <f>MAX(0,C675-E675)</f>
        <v/>
      </c>
    </row>
    <row r="676">
      <c r="A676" s="34" t="n">
        <v>3</v>
      </c>
      <c r="B676" s="13" t="n">
        <v>46081</v>
      </c>
      <c r="C676" s="11">
        <f>F675</f>
        <v/>
      </c>
      <c r="D676" s="11">
        <f>MAX(0,C676*$C$669/12)</f>
        <v/>
      </c>
      <c r="E676" s="11">
        <f>MAX(0,MIN(C676,$C$668-D676))</f>
        <v/>
      </c>
      <c r="F676" s="11">
        <f>MAX(0,C676-E676)</f>
        <v/>
      </c>
    </row>
    <row r="677">
      <c r="A677" s="34" t="n">
        <v>4</v>
      </c>
      <c r="B677" s="13" t="n">
        <v>46111</v>
      </c>
      <c r="C677" s="11">
        <f>F676</f>
        <v/>
      </c>
      <c r="D677" s="11">
        <f>MAX(0,C677*$C$669/12)</f>
        <v/>
      </c>
      <c r="E677" s="11">
        <f>MAX(0,MIN(C677,$C$668-D677))</f>
        <v/>
      </c>
      <c r="F677" s="11">
        <f>MAX(0,C677-E677)</f>
        <v/>
      </c>
    </row>
    <row r="678">
      <c r="A678" s="34" t="n">
        <v>5</v>
      </c>
      <c r="B678" s="13" t="n">
        <v>46142</v>
      </c>
      <c r="C678" s="11">
        <f>F677</f>
        <v/>
      </c>
      <c r="D678" s="11">
        <f>MAX(0,C678*$C$669/12)</f>
        <v/>
      </c>
      <c r="E678" s="11">
        <f>MAX(0,MIN(C678,$C$668-D678))</f>
        <v/>
      </c>
      <c r="F678" s="11">
        <f>MAX(0,C678-E678)</f>
        <v/>
      </c>
    </row>
    <row r="679">
      <c r="A679" s="34" t="n">
        <v>6</v>
      </c>
      <c r="B679" s="13" t="n">
        <v>46172</v>
      </c>
      <c r="C679" s="11">
        <f>F678</f>
        <v/>
      </c>
      <c r="D679" s="11">
        <f>MAX(0,C679*$C$669/12)</f>
        <v/>
      </c>
      <c r="E679" s="11">
        <f>MAX(0,MIN(C679,$C$668-D679))</f>
        <v/>
      </c>
      <c r="F679" s="11">
        <f>MAX(0,C679-E679)</f>
        <v/>
      </c>
    </row>
    <row r="680">
      <c r="A680" s="34" t="n">
        <v>7</v>
      </c>
      <c r="B680" s="13" t="n">
        <v>46203</v>
      </c>
      <c r="C680" s="11">
        <f>F679</f>
        <v/>
      </c>
      <c r="D680" s="11">
        <f>MAX(0,C680*$C$669/12)</f>
        <v/>
      </c>
      <c r="E680" s="11">
        <f>MAX(0,MIN(C680,$C$668-D680))</f>
        <v/>
      </c>
      <c r="F680" s="11">
        <f>MAX(0,C680-E680)</f>
        <v/>
      </c>
    </row>
    <row r="681">
      <c r="A681" s="34" t="n">
        <v>8</v>
      </c>
      <c r="B681" s="13" t="n">
        <v>46233</v>
      </c>
      <c r="C681" s="11">
        <f>F680</f>
        <v/>
      </c>
      <c r="D681" s="11">
        <f>MAX(0,C681*$C$669/12)</f>
        <v/>
      </c>
      <c r="E681" s="11">
        <f>MAX(0,MIN(C681,$C$668-D681))</f>
        <v/>
      </c>
      <c r="F681" s="11">
        <f>MAX(0,C681-E681)</f>
        <v/>
      </c>
    </row>
    <row r="682">
      <c r="A682" s="34" t="n">
        <v>9</v>
      </c>
      <c r="B682" s="13" t="n">
        <v>46264</v>
      </c>
      <c r="C682" s="11">
        <f>F681</f>
        <v/>
      </c>
      <c r="D682" s="11">
        <f>MAX(0,C682*$C$669/12)</f>
        <v/>
      </c>
      <c r="E682" s="11">
        <f>MAX(0,MIN(C682,$C$668-D682))</f>
        <v/>
      </c>
      <c r="F682" s="11">
        <f>MAX(0,C682-E682)</f>
        <v/>
      </c>
    </row>
    <row r="683">
      <c r="A683" s="34" t="n">
        <v>10</v>
      </c>
      <c r="B683" s="13" t="n">
        <v>46295</v>
      </c>
      <c r="C683" s="11">
        <f>F682</f>
        <v/>
      </c>
      <c r="D683" s="11">
        <f>MAX(0,C683*$C$669/12)</f>
        <v/>
      </c>
      <c r="E683" s="11">
        <f>MAX(0,MIN(C683,$C$668-D683))</f>
        <v/>
      </c>
      <c r="F683" s="11">
        <f>MAX(0,C683-E683)</f>
        <v/>
      </c>
    </row>
    <row r="684">
      <c r="A684" s="34" t="n">
        <v>11</v>
      </c>
      <c r="B684" s="13" t="n">
        <v>46325</v>
      </c>
      <c r="C684" s="11">
        <f>F683</f>
        <v/>
      </c>
      <c r="D684" s="11">
        <f>MAX(0,C684*$C$669/12)</f>
        <v/>
      </c>
      <c r="E684" s="11">
        <f>MAX(0,MIN(C684,$C$668-D684))</f>
        <v/>
      </c>
      <c r="F684" s="11">
        <f>MAX(0,C684-E684)</f>
        <v/>
      </c>
    </row>
    <row r="685">
      <c r="A685" s="34" t="n">
        <v>12</v>
      </c>
      <c r="B685" s="13" t="n">
        <v>46356</v>
      </c>
      <c r="C685" s="11">
        <f>F684</f>
        <v/>
      </c>
      <c r="D685" s="11">
        <f>MAX(0,C685*$C$669/12)</f>
        <v/>
      </c>
      <c r="E685" s="11">
        <f>MAX(0,MIN(C685,$C$668-D685))</f>
        <v/>
      </c>
      <c r="F685" s="11">
        <f>MAX(0,C685-E685)</f>
        <v/>
      </c>
    </row>
    <row r="686">
      <c r="A686" s="34" t="n">
        <v>13</v>
      </c>
      <c r="B686" s="13" t="n">
        <v>46386</v>
      </c>
      <c r="C686" s="11">
        <f>F685</f>
        <v/>
      </c>
      <c r="D686" s="11">
        <f>MAX(0,C686*$C$669/12)</f>
        <v/>
      </c>
      <c r="E686" s="11">
        <f>MAX(0,MIN(C686,$C$668-D686))</f>
        <v/>
      </c>
      <c r="F686" s="11">
        <f>MAX(0,C686-E686)</f>
        <v/>
      </c>
    </row>
    <row r="687">
      <c r="A687" s="34" t="n">
        <v>14</v>
      </c>
      <c r="B687" s="13" t="n">
        <v>46417</v>
      </c>
      <c r="C687" s="11">
        <f>F686</f>
        <v/>
      </c>
      <c r="D687" s="11">
        <f>MAX(0,C687*$C$669/12)</f>
        <v/>
      </c>
      <c r="E687" s="11">
        <f>MAX(0,MIN(C687,$C$668-D687))</f>
        <v/>
      </c>
      <c r="F687" s="11">
        <f>MAX(0,C687-E687)</f>
        <v/>
      </c>
    </row>
    <row r="688">
      <c r="A688" s="34" t="n">
        <v>15</v>
      </c>
      <c r="B688" s="13" t="n">
        <v>46446</v>
      </c>
      <c r="C688" s="11">
        <f>F687</f>
        <v/>
      </c>
      <c r="D688" s="11">
        <f>MAX(0,C688*$C$669/12)</f>
        <v/>
      </c>
      <c r="E688" s="11">
        <f>MAX(0,MIN(C688,$C$668-D688))</f>
        <v/>
      </c>
      <c r="F688" s="11">
        <f>MAX(0,C688-E688)</f>
        <v/>
      </c>
    </row>
    <row r="689">
      <c r="A689" s="34" t="n">
        <v>16</v>
      </c>
      <c r="B689" s="13" t="n">
        <v>46476</v>
      </c>
      <c r="C689" s="11">
        <f>F688</f>
        <v/>
      </c>
      <c r="D689" s="11">
        <f>MAX(0,C689*$C$669/12)</f>
        <v/>
      </c>
      <c r="E689" s="11">
        <f>MAX(0,MIN(C689,$C$668-D689))</f>
        <v/>
      </c>
      <c r="F689" s="11">
        <f>MAX(0,C689-E689)</f>
        <v/>
      </c>
    </row>
    <row r="690">
      <c r="A690" s="34" t="n">
        <v>17</v>
      </c>
      <c r="B690" s="13" t="n">
        <v>46507</v>
      </c>
      <c r="C690" s="11">
        <f>F689</f>
        <v/>
      </c>
      <c r="D690" s="11">
        <f>MAX(0,C690*$C$669/12)</f>
        <v/>
      </c>
      <c r="E690" s="11">
        <f>MAX(0,MIN(C690,$C$668-D690))</f>
        <v/>
      </c>
      <c r="F690" s="11">
        <f>MAX(0,C690-E690)</f>
        <v/>
      </c>
    </row>
    <row r="691">
      <c r="A691" s="34" t="n">
        <v>18</v>
      </c>
      <c r="B691" s="13" t="n">
        <v>46537</v>
      </c>
      <c r="C691" s="11">
        <f>F690</f>
        <v/>
      </c>
      <c r="D691" s="11">
        <f>MAX(0,C691*$C$669/12)</f>
        <v/>
      </c>
      <c r="E691" s="11">
        <f>MAX(0,MIN(C691,$C$668-D691))</f>
        <v/>
      </c>
      <c r="F691" s="11">
        <f>MAX(0,C691-E691)</f>
        <v/>
      </c>
    </row>
    <row r="692">
      <c r="A692" s="34" t="n">
        <v>19</v>
      </c>
      <c r="B692" s="13" t="n">
        <v>46568</v>
      </c>
      <c r="C692" s="11">
        <f>F691</f>
        <v/>
      </c>
      <c r="D692" s="11">
        <f>MAX(0,C692*$C$669/12)</f>
        <v/>
      </c>
      <c r="E692" s="11">
        <f>MAX(0,MIN(C692,$C$668-D692))</f>
        <v/>
      </c>
      <c r="F692" s="11">
        <f>MAX(0,C692-E692)</f>
        <v/>
      </c>
    </row>
    <row r="693">
      <c r="A693" s="34" t="n">
        <v>20</v>
      </c>
      <c r="B693" s="13" t="n">
        <v>46598</v>
      </c>
      <c r="C693" s="11">
        <f>F692</f>
        <v/>
      </c>
      <c r="D693" s="11">
        <f>MAX(0,C693*$C$669/12)</f>
        <v/>
      </c>
      <c r="E693" s="11">
        <f>MAX(0,MIN(C693,$C$668-D693))</f>
        <v/>
      </c>
      <c r="F693" s="11">
        <f>MAX(0,C693-E693)</f>
        <v/>
      </c>
    </row>
    <row r="694">
      <c r="A694" s="34" t="n">
        <v>21</v>
      </c>
      <c r="B694" s="13" t="n">
        <v>46629</v>
      </c>
      <c r="C694" s="11">
        <f>F693</f>
        <v/>
      </c>
      <c r="D694" s="11">
        <f>MAX(0,C694*$C$669/12)</f>
        <v/>
      </c>
      <c r="E694" s="11">
        <f>MAX(0,MIN(C694,$C$668-D694))</f>
        <v/>
      </c>
      <c r="F694" s="11">
        <f>MAX(0,C694-E694)</f>
        <v/>
      </c>
    </row>
    <row r="695">
      <c r="A695" s="34" t="n">
        <v>22</v>
      </c>
      <c r="B695" s="13" t="n">
        <v>46660</v>
      </c>
      <c r="C695" s="11">
        <f>F694</f>
        <v/>
      </c>
      <c r="D695" s="11">
        <f>MAX(0,C695*$C$669/12)</f>
        <v/>
      </c>
      <c r="E695" s="11">
        <f>MAX(0,MIN(C695,$C$668-D695))</f>
        <v/>
      </c>
      <c r="F695" s="11">
        <f>MAX(0,C695-E695)</f>
        <v/>
      </c>
    </row>
    <row r="696">
      <c r="A696" s="34" t="n">
        <v>23</v>
      </c>
      <c r="B696" s="13" t="n">
        <v>46690</v>
      </c>
      <c r="C696" s="11">
        <f>F695</f>
        <v/>
      </c>
      <c r="D696" s="11">
        <f>MAX(0,C696*$C$669/12)</f>
        <v/>
      </c>
      <c r="E696" s="11">
        <f>MAX(0,MIN(C696,$C$668-D696))</f>
        <v/>
      </c>
      <c r="F696" s="11">
        <f>MAX(0,C696-E696)</f>
        <v/>
      </c>
    </row>
    <row r="697">
      <c r="A697" s="34" t="n">
        <v>24</v>
      </c>
      <c r="B697" s="13" t="n">
        <v>46721</v>
      </c>
      <c r="C697" s="11">
        <f>F696</f>
        <v/>
      </c>
      <c r="D697" s="11">
        <f>MAX(0,C697*$C$669/12)</f>
        <v/>
      </c>
      <c r="E697" s="11">
        <f>MAX(0,MIN(C697,$C$668-D697))</f>
        <v/>
      </c>
      <c r="F697" s="11">
        <f>MAX(0,C697-E697)</f>
        <v/>
      </c>
    </row>
    <row r="698">
      <c r="A698" s="34" t="n">
        <v>25</v>
      </c>
      <c r="B698" s="13" t="n">
        <v>46751</v>
      </c>
      <c r="C698" s="11">
        <f>F697</f>
        <v/>
      </c>
      <c r="D698" s="11">
        <f>MAX(0,C698*$C$669/12)</f>
        <v/>
      </c>
      <c r="E698" s="11">
        <f>MAX(0,MIN(C698,$C$668-D698))</f>
        <v/>
      </c>
      <c r="F698" s="11">
        <f>MAX(0,C698-E698)</f>
        <v/>
      </c>
    </row>
    <row r="699">
      <c r="A699" s="34" t="n">
        <v>26</v>
      </c>
      <c r="B699" s="13" t="n">
        <v>46782</v>
      </c>
      <c r="C699" s="11">
        <f>F698</f>
        <v/>
      </c>
      <c r="D699" s="11">
        <f>MAX(0,C699*$C$669/12)</f>
        <v/>
      </c>
      <c r="E699" s="11">
        <f>MAX(0,MIN(C699,$C$668-D699))</f>
        <v/>
      </c>
      <c r="F699" s="11">
        <f>MAX(0,C699-E699)</f>
        <v/>
      </c>
    </row>
    <row r="700">
      <c r="A700" s="34" t="n">
        <v>27</v>
      </c>
      <c r="B700" s="13" t="n">
        <v>46812</v>
      </c>
      <c r="C700" s="11">
        <f>F699</f>
        <v/>
      </c>
      <c r="D700" s="11">
        <f>MAX(0,C700*$C$669/12)</f>
        <v/>
      </c>
      <c r="E700" s="11">
        <f>MAX(0,MIN(C700,$C$668-D700))</f>
        <v/>
      </c>
      <c r="F700" s="11">
        <f>MAX(0,C700-E700)</f>
        <v/>
      </c>
    </row>
    <row r="701">
      <c r="A701" s="34" t="n">
        <v>28</v>
      </c>
      <c r="B701" s="13" t="n">
        <v>46842</v>
      </c>
      <c r="C701" s="11">
        <f>F700</f>
        <v/>
      </c>
      <c r="D701" s="11">
        <f>MAX(0,C701*$C$669/12)</f>
        <v/>
      </c>
      <c r="E701" s="11">
        <f>MAX(0,MIN(C701,$C$668-D701))</f>
        <v/>
      </c>
      <c r="F701" s="11">
        <f>MAX(0,C701-E701)</f>
        <v/>
      </c>
    </row>
    <row r="702">
      <c r="A702" s="34" t="n"/>
      <c r="B702" s="41" t="inlineStr">
        <is>
          <t>TOTAL</t>
        </is>
      </c>
      <c r="C702" s="34" t="n"/>
      <c r="D702" s="42">
        <f>SUM(D674:D701)</f>
        <v/>
      </c>
      <c r="E702" s="42">
        <f>SUM(E674:E701)</f>
        <v/>
      </c>
      <c r="F702" s="34" t="n"/>
    </row>
    <row r="704">
      <c r="A704" s="80" t="inlineStr">
        <is>
          <t>LOAN 18: 2 T680 (June 2023)</t>
        </is>
      </c>
      <c r="B704" s="81" t="n"/>
      <c r="C704" s="81" t="n"/>
      <c r="D704" s="81" t="n"/>
      <c r="E704" s="81" t="n"/>
      <c r="F704" s="81" t="n"/>
      <c r="G704" s="81" t="n"/>
    </row>
    <row r="705">
      <c r="B705" t="inlineStr">
        <is>
          <t>Loan ID</t>
        </is>
      </c>
      <c r="C705" s="2" t="inlineStr">
        <is>
          <t>05-2959-015-000-00</t>
        </is>
      </c>
    </row>
    <row r="706">
      <c r="B706" t="inlineStr">
        <is>
          <t>Account</t>
        </is>
      </c>
      <c r="C706" s="2" t="inlineStr">
        <is>
          <t>7414923</t>
        </is>
      </c>
    </row>
    <row r="707">
      <c r="B707" t="inlineStr">
        <is>
          <t>Origination Date</t>
        </is>
      </c>
      <c r="C707" s="16" t="n">
        <v>45085</v>
      </c>
    </row>
    <row r="708">
      <c r="B708" t="inlineStr">
        <is>
          <t>Maturity Date</t>
        </is>
      </c>
      <c r="C708" s="16" t="n">
        <v>45374</v>
      </c>
    </row>
    <row r="709">
      <c r="B709" t="inlineStr">
        <is>
          <t>Original Balance</t>
        </is>
      </c>
      <c r="C709" s="3" t="n">
        <v>358370</v>
      </c>
    </row>
    <row r="710">
      <c r="B710" t="inlineStr">
        <is>
          <t>Remaining Balance (Nov 30, 2025)</t>
        </is>
      </c>
      <c r="C710" s="3" t="n">
        <v>231728</v>
      </c>
    </row>
    <row r="711">
      <c r="B711" t="inlineStr">
        <is>
          <t>Monthly Payment</t>
        </is>
      </c>
      <c r="C711" s="3" t="n">
        <v>6610.54</v>
      </c>
    </row>
    <row r="712">
      <c r="B712" t="inlineStr">
        <is>
          <t>Annual Interest Rate</t>
        </is>
      </c>
      <c r="C712" s="4" t="n">
        <v>0.065</v>
      </c>
    </row>
    <row r="713">
      <c r="B713" s="6" t="inlineStr">
        <is>
          <t>Loan Type</t>
        </is>
      </c>
      <c r="C713" s="6" t="inlineStr">
        <is>
          <t>AMORTIZING</t>
        </is>
      </c>
    </row>
    <row r="714">
      <c r="B714" s="6" t="inlineStr">
        <is>
          <t>Use</t>
        </is>
      </c>
      <c r="C714" s="6" t="inlineStr">
        <is>
          <t>Equipment (Semi trucks)</t>
        </is>
      </c>
    </row>
    <row r="716">
      <c r="A716" s="23" t="inlineStr">
        <is>
          <t>Month #</t>
        </is>
      </c>
      <c r="B716" s="23" t="inlineStr">
        <is>
          <t>Date</t>
        </is>
      </c>
      <c r="C716" s="23" t="inlineStr">
        <is>
          <t>Opening Balance</t>
        </is>
      </c>
      <c r="D716" s="23" t="inlineStr">
        <is>
          <t>Interest</t>
        </is>
      </c>
      <c r="E716" s="23" t="inlineStr">
        <is>
          <t>Principal</t>
        </is>
      </c>
      <c r="F716" s="23" t="inlineStr">
        <is>
          <t>Closing Balance</t>
        </is>
      </c>
    </row>
    <row r="717">
      <c r="A717" s="34" t="n">
        <v>1</v>
      </c>
      <c r="B717" s="13" t="n">
        <v>46021</v>
      </c>
      <c r="C717" s="11">
        <f>$C$710</f>
        <v/>
      </c>
      <c r="D717" s="11">
        <f>MAX(0,C717*$C$712/12)</f>
        <v/>
      </c>
      <c r="E717" s="11">
        <f>MAX(0,MIN(C717,$C$711-D717))</f>
        <v/>
      </c>
      <c r="F717" s="11">
        <f>MAX(0,C717-E717)</f>
        <v/>
      </c>
    </row>
    <row r="718">
      <c r="A718" s="34" t="n"/>
      <c r="B718" s="41" t="inlineStr">
        <is>
          <t>TOTAL</t>
        </is>
      </c>
      <c r="C718" s="34" t="n"/>
      <c r="D718" s="42">
        <f>SUM(D717:D717)</f>
        <v/>
      </c>
      <c r="E718" s="42">
        <f>SUM(E717:E717)</f>
        <v/>
      </c>
      <c r="F718" s="34" t="n"/>
    </row>
    <row r="720">
      <c r="A720" s="80" t="inlineStr">
        <is>
          <t>LOAN 19: 7 T680 (Jan 2024)</t>
        </is>
      </c>
      <c r="B720" s="81" t="n"/>
      <c r="C720" s="81" t="n"/>
      <c r="D720" s="81" t="n"/>
      <c r="E720" s="81" t="n"/>
      <c r="F720" s="81" t="n"/>
      <c r="G720" s="81" t="n"/>
    </row>
    <row r="721">
      <c r="B721" t="inlineStr">
        <is>
          <t>Loan ID</t>
        </is>
      </c>
      <c r="C721" s="2" t="inlineStr">
        <is>
          <t>05-2959-017-000-00</t>
        </is>
      </c>
    </row>
    <row r="722">
      <c r="B722" t="inlineStr">
        <is>
          <t>Account</t>
        </is>
      </c>
      <c r="C722" s="2" t="inlineStr">
        <is>
          <t>100-652-150-00007458722</t>
        </is>
      </c>
    </row>
    <row r="723">
      <c r="B723" t="inlineStr">
        <is>
          <t>Origination Date</t>
        </is>
      </c>
      <c r="C723" s="16" t="n">
        <v>45320</v>
      </c>
    </row>
    <row r="724">
      <c r="B724" t="inlineStr">
        <is>
          <t>Maturity Date</t>
        </is>
      </c>
      <c r="C724" s="16" t="n">
        <v>47433</v>
      </c>
    </row>
    <row r="725">
      <c r="B725" t="inlineStr">
        <is>
          <t>Original Balance</t>
        </is>
      </c>
      <c r="C725" s="3" t="n">
        <v>1298710</v>
      </c>
    </row>
    <row r="726">
      <c r="B726" t="inlineStr">
        <is>
          <t>Remaining Balance (Nov 30, 2025)</t>
        </is>
      </c>
      <c r="C726" s="3" t="n">
        <v>1008670</v>
      </c>
    </row>
    <row r="727">
      <c r="B727" t="inlineStr">
        <is>
          <t>Monthly Payment</t>
        </is>
      </c>
      <c r="C727" s="3" t="n">
        <v>23966.36</v>
      </c>
    </row>
    <row r="728">
      <c r="B728" t="inlineStr">
        <is>
          <t>Annual Interest Rate</t>
        </is>
      </c>
      <c r="C728" s="4" t="n">
        <v>0.0658</v>
      </c>
    </row>
    <row r="729">
      <c r="B729" s="6" t="inlineStr">
        <is>
          <t>Loan Type</t>
        </is>
      </c>
      <c r="C729" s="6" t="inlineStr">
        <is>
          <t>AMORTIZING</t>
        </is>
      </c>
    </row>
    <row r="730">
      <c r="B730" s="6" t="inlineStr">
        <is>
          <t>Use</t>
        </is>
      </c>
      <c r="C730" s="6" t="inlineStr">
        <is>
          <t>Equipment (Semi trucks)</t>
        </is>
      </c>
    </row>
    <row r="732">
      <c r="A732" s="23" t="inlineStr">
        <is>
          <t>Month #</t>
        </is>
      </c>
      <c r="B732" s="23" t="inlineStr">
        <is>
          <t>Date</t>
        </is>
      </c>
      <c r="C732" s="23" t="inlineStr">
        <is>
          <t>Opening Balance</t>
        </is>
      </c>
      <c r="D732" s="23" t="inlineStr">
        <is>
          <t>Interest</t>
        </is>
      </c>
      <c r="E732" s="23" t="inlineStr">
        <is>
          <t>Principal</t>
        </is>
      </c>
      <c r="F732" s="23" t="inlineStr">
        <is>
          <t>Closing Balance</t>
        </is>
      </c>
    </row>
    <row r="733">
      <c r="A733" s="34" t="n">
        <v>1</v>
      </c>
      <c r="B733" s="13" t="n">
        <v>46021</v>
      </c>
      <c r="C733" s="11">
        <f>$C$726</f>
        <v/>
      </c>
      <c r="D733" s="11">
        <f>MAX(0,C733*$C$728/12)</f>
        <v/>
      </c>
      <c r="E733" s="11">
        <f>MAX(0,MIN(C733,$C$727-D733))</f>
        <v/>
      </c>
      <c r="F733" s="11">
        <f>MAX(0,C733-E733)</f>
        <v/>
      </c>
    </row>
    <row r="734">
      <c r="A734" s="34" t="n">
        <v>2</v>
      </c>
      <c r="B734" s="13" t="n">
        <v>46052</v>
      </c>
      <c r="C734" s="11">
        <f>F733</f>
        <v/>
      </c>
      <c r="D734" s="11">
        <f>MAX(0,C734*$C$728/12)</f>
        <v/>
      </c>
      <c r="E734" s="11">
        <f>MAX(0,MIN(C734,$C$727-D734))</f>
        <v/>
      </c>
      <c r="F734" s="11">
        <f>MAX(0,C734-E734)</f>
        <v/>
      </c>
    </row>
    <row r="735">
      <c r="A735" s="34" t="n">
        <v>3</v>
      </c>
      <c r="B735" s="13" t="n">
        <v>46081</v>
      </c>
      <c r="C735" s="11">
        <f>F734</f>
        <v/>
      </c>
      <c r="D735" s="11">
        <f>MAX(0,C735*$C$728/12)</f>
        <v/>
      </c>
      <c r="E735" s="11">
        <f>MAX(0,MIN(C735,$C$727-D735))</f>
        <v/>
      </c>
      <c r="F735" s="11">
        <f>MAX(0,C735-E735)</f>
        <v/>
      </c>
    </row>
    <row r="736">
      <c r="A736" s="34" t="n">
        <v>4</v>
      </c>
      <c r="B736" s="13" t="n">
        <v>46111</v>
      </c>
      <c r="C736" s="11">
        <f>F735</f>
        <v/>
      </c>
      <c r="D736" s="11">
        <f>MAX(0,C736*$C$728/12)</f>
        <v/>
      </c>
      <c r="E736" s="11">
        <f>MAX(0,MIN(C736,$C$727-D736))</f>
        <v/>
      </c>
      <c r="F736" s="11">
        <f>MAX(0,C736-E736)</f>
        <v/>
      </c>
    </row>
    <row r="737">
      <c r="A737" s="34" t="n">
        <v>5</v>
      </c>
      <c r="B737" s="13" t="n">
        <v>46142</v>
      </c>
      <c r="C737" s="11">
        <f>F736</f>
        <v/>
      </c>
      <c r="D737" s="11">
        <f>MAX(0,C737*$C$728/12)</f>
        <v/>
      </c>
      <c r="E737" s="11">
        <f>MAX(0,MIN(C737,$C$727-D737))</f>
        <v/>
      </c>
      <c r="F737" s="11">
        <f>MAX(0,C737-E737)</f>
        <v/>
      </c>
    </row>
    <row r="738">
      <c r="A738" s="34" t="n">
        <v>6</v>
      </c>
      <c r="B738" s="13" t="n">
        <v>46172</v>
      </c>
      <c r="C738" s="11">
        <f>F737</f>
        <v/>
      </c>
      <c r="D738" s="11">
        <f>MAX(0,C738*$C$728/12)</f>
        <v/>
      </c>
      <c r="E738" s="11">
        <f>MAX(0,MIN(C738,$C$727-D738))</f>
        <v/>
      </c>
      <c r="F738" s="11">
        <f>MAX(0,C738-E738)</f>
        <v/>
      </c>
    </row>
    <row r="739">
      <c r="A739" s="34" t="n">
        <v>7</v>
      </c>
      <c r="B739" s="13" t="n">
        <v>46203</v>
      </c>
      <c r="C739" s="11">
        <f>F738</f>
        <v/>
      </c>
      <c r="D739" s="11">
        <f>MAX(0,C739*$C$728/12)</f>
        <v/>
      </c>
      <c r="E739" s="11">
        <f>MAX(0,MIN(C739,$C$727-D739))</f>
        <v/>
      </c>
      <c r="F739" s="11">
        <f>MAX(0,C739-E739)</f>
        <v/>
      </c>
    </row>
    <row r="740">
      <c r="A740" s="34" t="n">
        <v>8</v>
      </c>
      <c r="B740" s="13" t="n">
        <v>46233</v>
      </c>
      <c r="C740" s="11">
        <f>F739</f>
        <v/>
      </c>
      <c r="D740" s="11">
        <f>MAX(0,C740*$C$728/12)</f>
        <v/>
      </c>
      <c r="E740" s="11">
        <f>MAX(0,MIN(C740,$C$727-D740))</f>
        <v/>
      </c>
      <c r="F740" s="11">
        <f>MAX(0,C740-E740)</f>
        <v/>
      </c>
    </row>
    <row r="741">
      <c r="A741" s="34" t="n">
        <v>9</v>
      </c>
      <c r="B741" s="13" t="n">
        <v>46264</v>
      </c>
      <c r="C741" s="11">
        <f>F740</f>
        <v/>
      </c>
      <c r="D741" s="11">
        <f>MAX(0,C741*$C$728/12)</f>
        <v/>
      </c>
      <c r="E741" s="11">
        <f>MAX(0,MIN(C741,$C$727-D741))</f>
        <v/>
      </c>
      <c r="F741" s="11">
        <f>MAX(0,C741-E741)</f>
        <v/>
      </c>
    </row>
    <row r="742">
      <c r="A742" s="34" t="n">
        <v>10</v>
      </c>
      <c r="B742" s="13" t="n">
        <v>46295</v>
      </c>
      <c r="C742" s="11">
        <f>F741</f>
        <v/>
      </c>
      <c r="D742" s="11">
        <f>MAX(0,C742*$C$728/12)</f>
        <v/>
      </c>
      <c r="E742" s="11">
        <f>MAX(0,MIN(C742,$C$727-D742))</f>
        <v/>
      </c>
      <c r="F742" s="11">
        <f>MAX(0,C742-E742)</f>
        <v/>
      </c>
    </row>
    <row r="743">
      <c r="A743" s="34" t="n">
        <v>11</v>
      </c>
      <c r="B743" s="13" t="n">
        <v>46325</v>
      </c>
      <c r="C743" s="11">
        <f>F742</f>
        <v/>
      </c>
      <c r="D743" s="11">
        <f>MAX(0,C743*$C$728/12)</f>
        <v/>
      </c>
      <c r="E743" s="11">
        <f>MAX(0,MIN(C743,$C$727-D743))</f>
        <v/>
      </c>
      <c r="F743" s="11">
        <f>MAX(0,C743-E743)</f>
        <v/>
      </c>
    </row>
    <row r="744">
      <c r="A744" s="34" t="n">
        <v>12</v>
      </c>
      <c r="B744" s="13" t="n">
        <v>46356</v>
      </c>
      <c r="C744" s="11">
        <f>F743</f>
        <v/>
      </c>
      <c r="D744" s="11">
        <f>MAX(0,C744*$C$728/12)</f>
        <v/>
      </c>
      <c r="E744" s="11">
        <f>MAX(0,MIN(C744,$C$727-D744))</f>
        <v/>
      </c>
      <c r="F744" s="11">
        <f>MAX(0,C744-E744)</f>
        <v/>
      </c>
    </row>
    <row r="745">
      <c r="A745" s="34" t="n">
        <v>13</v>
      </c>
      <c r="B745" s="13" t="n">
        <v>46386</v>
      </c>
      <c r="C745" s="11">
        <f>F744</f>
        <v/>
      </c>
      <c r="D745" s="11">
        <f>MAX(0,C745*$C$728/12)</f>
        <v/>
      </c>
      <c r="E745" s="11">
        <f>MAX(0,MIN(C745,$C$727-D745))</f>
        <v/>
      </c>
      <c r="F745" s="11">
        <f>MAX(0,C745-E745)</f>
        <v/>
      </c>
    </row>
    <row r="746">
      <c r="A746" s="34" t="n">
        <v>14</v>
      </c>
      <c r="B746" s="13" t="n">
        <v>46417</v>
      </c>
      <c r="C746" s="11">
        <f>F745</f>
        <v/>
      </c>
      <c r="D746" s="11">
        <f>MAX(0,C746*$C$728/12)</f>
        <v/>
      </c>
      <c r="E746" s="11">
        <f>MAX(0,MIN(C746,$C$727-D746))</f>
        <v/>
      </c>
      <c r="F746" s="11">
        <f>MAX(0,C746-E746)</f>
        <v/>
      </c>
    </row>
    <row r="747">
      <c r="A747" s="34" t="n">
        <v>15</v>
      </c>
      <c r="B747" s="13" t="n">
        <v>46446</v>
      </c>
      <c r="C747" s="11">
        <f>F746</f>
        <v/>
      </c>
      <c r="D747" s="11">
        <f>MAX(0,C747*$C$728/12)</f>
        <v/>
      </c>
      <c r="E747" s="11">
        <f>MAX(0,MIN(C747,$C$727-D747))</f>
        <v/>
      </c>
      <c r="F747" s="11">
        <f>MAX(0,C747-E747)</f>
        <v/>
      </c>
    </row>
    <row r="748">
      <c r="A748" s="34" t="n">
        <v>16</v>
      </c>
      <c r="B748" s="13" t="n">
        <v>46476</v>
      </c>
      <c r="C748" s="11">
        <f>F747</f>
        <v/>
      </c>
      <c r="D748" s="11">
        <f>MAX(0,C748*$C$728/12)</f>
        <v/>
      </c>
      <c r="E748" s="11">
        <f>MAX(0,MIN(C748,$C$727-D748))</f>
        <v/>
      </c>
      <c r="F748" s="11">
        <f>MAX(0,C748-E748)</f>
        <v/>
      </c>
    </row>
    <row r="749">
      <c r="A749" s="34" t="n">
        <v>17</v>
      </c>
      <c r="B749" s="13" t="n">
        <v>46507</v>
      </c>
      <c r="C749" s="11">
        <f>F748</f>
        <v/>
      </c>
      <c r="D749" s="11">
        <f>MAX(0,C749*$C$728/12)</f>
        <v/>
      </c>
      <c r="E749" s="11">
        <f>MAX(0,MIN(C749,$C$727-D749))</f>
        <v/>
      </c>
      <c r="F749" s="11">
        <f>MAX(0,C749-E749)</f>
        <v/>
      </c>
    </row>
    <row r="750">
      <c r="A750" s="34" t="n">
        <v>18</v>
      </c>
      <c r="B750" s="13" t="n">
        <v>46537</v>
      </c>
      <c r="C750" s="11">
        <f>F749</f>
        <v/>
      </c>
      <c r="D750" s="11">
        <f>MAX(0,C750*$C$728/12)</f>
        <v/>
      </c>
      <c r="E750" s="11">
        <f>MAX(0,MIN(C750,$C$727-D750))</f>
        <v/>
      </c>
      <c r="F750" s="11">
        <f>MAX(0,C750-E750)</f>
        <v/>
      </c>
    </row>
    <row r="751">
      <c r="A751" s="34" t="n">
        <v>19</v>
      </c>
      <c r="B751" s="13" t="n">
        <v>46568</v>
      </c>
      <c r="C751" s="11">
        <f>F750</f>
        <v/>
      </c>
      <c r="D751" s="11">
        <f>MAX(0,C751*$C$728/12)</f>
        <v/>
      </c>
      <c r="E751" s="11">
        <f>MAX(0,MIN(C751,$C$727-D751))</f>
        <v/>
      </c>
      <c r="F751" s="11">
        <f>MAX(0,C751-E751)</f>
        <v/>
      </c>
    </row>
    <row r="752">
      <c r="A752" s="34" t="n">
        <v>20</v>
      </c>
      <c r="B752" s="13" t="n">
        <v>46598</v>
      </c>
      <c r="C752" s="11">
        <f>F751</f>
        <v/>
      </c>
      <c r="D752" s="11">
        <f>MAX(0,C752*$C$728/12)</f>
        <v/>
      </c>
      <c r="E752" s="11">
        <f>MAX(0,MIN(C752,$C$727-D752))</f>
        <v/>
      </c>
      <c r="F752" s="11">
        <f>MAX(0,C752-E752)</f>
        <v/>
      </c>
    </row>
    <row r="753">
      <c r="A753" s="34" t="n">
        <v>21</v>
      </c>
      <c r="B753" s="13" t="n">
        <v>46629</v>
      </c>
      <c r="C753" s="11">
        <f>F752</f>
        <v/>
      </c>
      <c r="D753" s="11">
        <f>MAX(0,C753*$C$728/12)</f>
        <v/>
      </c>
      <c r="E753" s="11">
        <f>MAX(0,MIN(C753,$C$727-D753))</f>
        <v/>
      </c>
      <c r="F753" s="11">
        <f>MAX(0,C753-E753)</f>
        <v/>
      </c>
    </row>
    <row r="754">
      <c r="A754" s="34" t="n">
        <v>22</v>
      </c>
      <c r="B754" s="13" t="n">
        <v>46660</v>
      </c>
      <c r="C754" s="11">
        <f>F753</f>
        <v/>
      </c>
      <c r="D754" s="11">
        <f>MAX(0,C754*$C$728/12)</f>
        <v/>
      </c>
      <c r="E754" s="11">
        <f>MAX(0,MIN(C754,$C$727-D754))</f>
        <v/>
      </c>
      <c r="F754" s="11">
        <f>MAX(0,C754-E754)</f>
        <v/>
      </c>
    </row>
    <row r="755">
      <c r="A755" s="34" t="n">
        <v>23</v>
      </c>
      <c r="B755" s="13" t="n">
        <v>46690</v>
      </c>
      <c r="C755" s="11">
        <f>F754</f>
        <v/>
      </c>
      <c r="D755" s="11">
        <f>MAX(0,C755*$C$728/12)</f>
        <v/>
      </c>
      <c r="E755" s="11">
        <f>MAX(0,MIN(C755,$C$727-D755))</f>
        <v/>
      </c>
      <c r="F755" s="11">
        <f>MAX(0,C755-E755)</f>
        <v/>
      </c>
    </row>
    <row r="756">
      <c r="A756" s="34" t="n">
        <v>24</v>
      </c>
      <c r="B756" s="13" t="n">
        <v>46721</v>
      </c>
      <c r="C756" s="11">
        <f>F755</f>
        <v/>
      </c>
      <c r="D756" s="11">
        <f>MAX(0,C756*$C$728/12)</f>
        <v/>
      </c>
      <c r="E756" s="11">
        <f>MAX(0,MIN(C756,$C$727-D756))</f>
        <v/>
      </c>
      <c r="F756" s="11">
        <f>MAX(0,C756-E756)</f>
        <v/>
      </c>
    </row>
    <row r="757">
      <c r="A757" s="34" t="n">
        <v>25</v>
      </c>
      <c r="B757" s="13" t="n">
        <v>46751</v>
      </c>
      <c r="C757" s="11">
        <f>F756</f>
        <v/>
      </c>
      <c r="D757" s="11">
        <f>MAX(0,C757*$C$728/12)</f>
        <v/>
      </c>
      <c r="E757" s="11">
        <f>MAX(0,MIN(C757,$C$727-D757))</f>
        <v/>
      </c>
      <c r="F757" s="11">
        <f>MAX(0,C757-E757)</f>
        <v/>
      </c>
    </row>
    <row r="758">
      <c r="A758" s="34" t="n">
        <v>26</v>
      </c>
      <c r="B758" s="13" t="n">
        <v>46782</v>
      </c>
      <c r="C758" s="11">
        <f>F757</f>
        <v/>
      </c>
      <c r="D758" s="11">
        <f>MAX(0,C758*$C$728/12)</f>
        <v/>
      </c>
      <c r="E758" s="11">
        <f>MAX(0,MIN(C758,$C$727-D758))</f>
        <v/>
      </c>
      <c r="F758" s="11">
        <f>MAX(0,C758-E758)</f>
        <v/>
      </c>
    </row>
    <row r="759">
      <c r="A759" s="34" t="n">
        <v>27</v>
      </c>
      <c r="B759" s="13" t="n">
        <v>46812</v>
      </c>
      <c r="C759" s="11">
        <f>F758</f>
        <v/>
      </c>
      <c r="D759" s="11">
        <f>MAX(0,C759*$C$728/12)</f>
        <v/>
      </c>
      <c r="E759" s="11">
        <f>MAX(0,MIN(C759,$C$727-D759))</f>
        <v/>
      </c>
      <c r="F759" s="11">
        <f>MAX(0,C759-E759)</f>
        <v/>
      </c>
    </row>
    <row r="760">
      <c r="A760" s="34" t="n">
        <v>28</v>
      </c>
      <c r="B760" s="13" t="n">
        <v>46842</v>
      </c>
      <c r="C760" s="11">
        <f>F759</f>
        <v/>
      </c>
      <c r="D760" s="11">
        <f>MAX(0,C760*$C$728/12)</f>
        <v/>
      </c>
      <c r="E760" s="11">
        <f>MAX(0,MIN(C760,$C$727-D760))</f>
        <v/>
      </c>
      <c r="F760" s="11">
        <f>MAX(0,C760-E760)</f>
        <v/>
      </c>
    </row>
    <row r="761">
      <c r="A761" s="34" t="n">
        <v>29</v>
      </c>
      <c r="B761" s="13" t="n">
        <v>46873</v>
      </c>
      <c r="C761" s="11">
        <f>F760</f>
        <v/>
      </c>
      <c r="D761" s="11">
        <f>MAX(0,C761*$C$728/12)</f>
        <v/>
      </c>
      <c r="E761" s="11">
        <f>MAX(0,MIN(C761,$C$727-D761))</f>
        <v/>
      </c>
      <c r="F761" s="11">
        <f>MAX(0,C761-E761)</f>
        <v/>
      </c>
    </row>
    <row r="762">
      <c r="A762" s="34" t="n">
        <v>30</v>
      </c>
      <c r="B762" s="13" t="n">
        <v>46903</v>
      </c>
      <c r="C762" s="11">
        <f>F761</f>
        <v/>
      </c>
      <c r="D762" s="11">
        <f>MAX(0,C762*$C$728/12)</f>
        <v/>
      </c>
      <c r="E762" s="11">
        <f>MAX(0,MIN(C762,$C$727-D762))</f>
        <v/>
      </c>
      <c r="F762" s="11">
        <f>MAX(0,C762-E762)</f>
        <v/>
      </c>
    </row>
    <row r="763">
      <c r="A763" s="34" t="n">
        <v>31</v>
      </c>
      <c r="B763" s="13" t="n">
        <v>46934</v>
      </c>
      <c r="C763" s="11">
        <f>F762</f>
        <v/>
      </c>
      <c r="D763" s="11">
        <f>MAX(0,C763*$C$728/12)</f>
        <v/>
      </c>
      <c r="E763" s="11">
        <f>MAX(0,MIN(C763,$C$727-D763))</f>
        <v/>
      </c>
      <c r="F763" s="11">
        <f>MAX(0,C763-E763)</f>
        <v/>
      </c>
    </row>
    <row r="764">
      <c r="A764" s="34" t="n">
        <v>32</v>
      </c>
      <c r="B764" s="13" t="n">
        <v>46964</v>
      </c>
      <c r="C764" s="11">
        <f>F763</f>
        <v/>
      </c>
      <c r="D764" s="11">
        <f>MAX(0,C764*$C$728/12)</f>
        <v/>
      </c>
      <c r="E764" s="11">
        <f>MAX(0,MIN(C764,$C$727-D764))</f>
        <v/>
      </c>
      <c r="F764" s="11">
        <f>MAX(0,C764-E764)</f>
        <v/>
      </c>
    </row>
    <row r="765">
      <c r="A765" s="34" t="n">
        <v>33</v>
      </c>
      <c r="B765" s="13" t="n">
        <v>46995</v>
      </c>
      <c r="C765" s="11">
        <f>F764</f>
        <v/>
      </c>
      <c r="D765" s="11">
        <f>MAX(0,C765*$C$728/12)</f>
        <v/>
      </c>
      <c r="E765" s="11">
        <f>MAX(0,MIN(C765,$C$727-D765))</f>
        <v/>
      </c>
      <c r="F765" s="11">
        <f>MAX(0,C765-E765)</f>
        <v/>
      </c>
    </row>
    <row r="766">
      <c r="A766" s="34" t="n">
        <v>34</v>
      </c>
      <c r="B766" s="13" t="n">
        <v>47026</v>
      </c>
      <c r="C766" s="11">
        <f>F765</f>
        <v/>
      </c>
      <c r="D766" s="11">
        <f>MAX(0,C766*$C$728/12)</f>
        <v/>
      </c>
      <c r="E766" s="11">
        <f>MAX(0,MIN(C766,$C$727-D766))</f>
        <v/>
      </c>
      <c r="F766" s="11">
        <f>MAX(0,C766-E766)</f>
        <v/>
      </c>
    </row>
    <row r="767">
      <c r="A767" s="34" t="n">
        <v>35</v>
      </c>
      <c r="B767" s="13" t="n">
        <v>47056</v>
      </c>
      <c r="C767" s="11">
        <f>F766</f>
        <v/>
      </c>
      <c r="D767" s="11">
        <f>MAX(0,C767*$C$728/12)</f>
        <v/>
      </c>
      <c r="E767" s="11">
        <f>MAX(0,MIN(C767,$C$727-D767))</f>
        <v/>
      </c>
      <c r="F767" s="11">
        <f>MAX(0,C767-E767)</f>
        <v/>
      </c>
    </row>
    <row r="768">
      <c r="A768" s="34" t="n">
        <v>36</v>
      </c>
      <c r="B768" s="13" t="n">
        <v>47087</v>
      </c>
      <c r="C768" s="11">
        <f>F767</f>
        <v/>
      </c>
      <c r="D768" s="11">
        <f>MAX(0,C768*$C$728/12)</f>
        <v/>
      </c>
      <c r="E768" s="11">
        <f>MAX(0,MIN(C768,$C$727-D768))</f>
        <v/>
      </c>
      <c r="F768" s="11">
        <f>MAX(0,C768-E768)</f>
        <v/>
      </c>
    </row>
    <row r="769">
      <c r="A769" s="34" t="n">
        <v>37</v>
      </c>
      <c r="B769" s="13" t="n">
        <v>47117</v>
      </c>
      <c r="C769" s="11">
        <f>F768</f>
        <v/>
      </c>
      <c r="D769" s="11">
        <f>MAX(0,C769*$C$728/12)</f>
        <v/>
      </c>
      <c r="E769" s="11">
        <f>MAX(0,MIN(C769,$C$727-D769))</f>
        <v/>
      </c>
      <c r="F769" s="11">
        <f>MAX(0,C769-E769)</f>
        <v/>
      </c>
    </row>
    <row r="770">
      <c r="A770" s="34" t="n">
        <v>38</v>
      </c>
      <c r="B770" s="13" t="n">
        <v>47148</v>
      </c>
      <c r="C770" s="11">
        <f>F769</f>
        <v/>
      </c>
      <c r="D770" s="11">
        <f>MAX(0,C770*$C$728/12)</f>
        <v/>
      </c>
      <c r="E770" s="11">
        <f>MAX(0,MIN(C770,$C$727-D770))</f>
        <v/>
      </c>
      <c r="F770" s="11">
        <f>MAX(0,C770-E770)</f>
        <v/>
      </c>
    </row>
    <row r="771">
      <c r="A771" s="34" t="n">
        <v>39</v>
      </c>
      <c r="B771" s="13" t="n">
        <v>47177</v>
      </c>
      <c r="C771" s="11">
        <f>F770</f>
        <v/>
      </c>
      <c r="D771" s="11">
        <f>MAX(0,C771*$C$728/12)</f>
        <v/>
      </c>
      <c r="E771" s="11">
        <f>MAX(0,MIN(C771,$C$727-D771))</f>
        <v/>
      </c>
      <c r="F771" s="11">
        <f>MAX(0,C771-E771)</f>
        <v/>
      </c>
    </row>
    <row r="772">
      <c r="A772" s="34" t="n">
        <v>40</v>
      </c>
      <c r="B772" s="13" t="n">
        <v>47207</v>
      </c>
      <c r="C772" s="11">
        <f>F771</f>
        <v/>
      </c>
      <c r="D772" s="11">
        <f>MAX(0,C772*$C$728/12)</f>
        <v/>
      </c>
      <c r="E772" s="11">
        <f>MAX(0,MIN(C772,$C$727-D772))</f>
        <v/>
      </c>
      <c r="F772" s="11">
        <f>MAX(0,C772-E772)</f>
        <v/>
      </c>
    </row>
    <row r="773">
      <c r="A773" s="34" t="n">
        <v>41</v>
      </c>
      <c r="B773" s="13" t="n">
        <v>47238</v>
      </c>
      <c r="C773" s="11">
        <f>F772</f>
        <v/>
      </c>
      <c r="D773" s="11">
        <f>MAX(0,C773*$C$728/12)</f>
        <v/>
      </c>
      <c r="E773" s="11">
        <f>MAX(0,MIN(C773,$C$727-D773))</f>
        <v/>
      </c>
      <c r="F773" s="11">
        <f>MAX(0,C773-E773)</f>
        <v/>
      </c>
    </row>
    <row r="774">
      <c r="A774" s="34" t="n">
        <v>42</v>
      </c>
      <c r="B774" s="13" t="n">
        <v>47268</v>
      </c>
      <c r="C774" s="11">
        <f>F773</f>
        <v/>
      </c>
      <c r="D774" s="11">
        <f>MAX(0,C774*$C$728/12)</f>
        <v/>
      </c>
      <c r="E774" s="11">
        <f>MAX(0,MIN(C774,$C$727-D774))</f>
        <v/>
      </c>
      <c r="F774" s="11">
        <f>MAX(0,C774-E774)</f>
        <v/>
      </c>
    </row>
    <row r="775">
      <c r="A775" s="34" t="n">
        <v>43</v>
      </c>
      <c r="B775" s="13" t="n">
        <v>47299</v>
      </c>
      <c r="C775" s="11">
        <f>F774</f>
        <v/>
      </c>
      <c r="D775" s="11">
        <f>MAX(0,C775*$C$728/12)</f>
        <v/>
      </c>
      <c r="E775" s="11">
        <f>MAX(0,MIN(C775,$C$727-D775))</f>
        <v/>
      </c>
      <c r="F775" s="11">
        <f>MAX(0,C775-E775)</f>
        <v/>
      </c>
    </row>
    <row r="776">
      <c r="A776" s="34" t="n">
        <v>44</v>
      </c>
      <c r="B776" s="13" t="n">
        <v>47329</v>
      </c>
      <c r="C776" s="11">
        <f>F775</f>
        <v/>
      </c>
      <c r="D776" s="11">
        <f>MAX(0,C776*$C$728/12)</f>
        <v/>
      </c>
      <c r="E776" s="11">
        <f>MAX(0,MIN(C776,$C$727-D776))</f>
        <v/>
      </c>
      <c r="F776" s="11">
        <f>MAX(0,C776-E776)</f>
        <v/>
      </c>
    </row>
    <row r="777">
      <c r="A777" s="34" t="n">
        <v>45</v>
      </c>
      <c r="B777" s="13" t="n">
        <v>47360</v>
      </c>
      <c r="C777" s="11">
        <f>F776</f>
        <v/>
      </c>
      <c r="D777" s="11">
        <f>MAX(0,C777*$C$728/12)</f>
        <v/>
      </c>
      <c r="E777" s="11">
        <f>MAX(0,MIN(C777,$C$727-D777))</f>
        <v/>
      </c>
      <c r="F777" s="11">
        <f>MAX(0,C777-E777)</f>
        <v/>
      </c>
    </row>
    <row r="778">
      <c r="A778" s="34" t="n">
        <v>46</v>
      </c>
      <c r="B778" s="13" t="n">
        <v>47391</v>
      </c>
      <c r="C778" s="11">
        <f>F777</f>
        <v/>
      </c>
      <c r="D778" s="11">
        <f>MAX(0,C778*$C$728/12)</f>
        <v/>
      </c>
      <c r="E778" s="11">
        <f>MAX(0,MIN(C778,$C$727-D778))</f>
        <v/>
      </c>
      <c r="F778" s="11">
        <f>MAX(0,C778-E778)</f>
        <v/>
      </c>
    </row>
    <row r="779">
      <c r="A779" s="34" t="n">
        <v>47</v>
      </c>
      <c r="B779" s="13" t="n">
        <v>47421</v>
      </c>
      <c r="C779" s="11">
        <f>F778</f>
        <v/>
      </c>
      <c r="D779" s="11">
        <f>MAX(0,C779*$C$728/12)</f>
        <v/>
      </c>
      <c r="E779" s="11">
        <f>MAX(0,MIN(C779,$C$727-D779))</f>
        <v/>
      </c>
      <c r="F779" s="11">
        <f>MAX(0,C779-E779)</f>
        <v/>
      </c>
    </row>
    <row r="780">
      <c r="A780" s="34" t="n">
        <v>48</v>
      </c>
      <c r="B780" s="13" t="n">
        <v>47452</v>
      </c>
      <c r="C780" s="11">
        <f>F779</f>
        <v/>
      </c>
      <c r="D780" s="11">
        <f>MAX(0,C780*$C$728/12)</f>
        <v/>
      </c>
      <c r="E780" s="11">
        <f>MAX(0,MIN(C780,$C$727-D780))</f>
        <v/>
      </c>
      <c r="F780" s="11">
        <f>MAX(0,C780-E780)</f>
        <v/>
      </c>
    </row>
    <row r="781">
      <c r="A781" s="34" t="n"/>
      <c r="B781" s="41" t="inlineStr">
        <is>
          <t>TOTAL</t>
        </is>
      </c>
      <c r="C781" s="34" t="n"/>
      <c r="D781" s="42">
        <f>SUM(D733:D780)</f>
        <v/>
      </c>
      <c r="E781" s="42">
        <f>SUM(E733:E780)</f>
        <v/>
      </c>
      <c r="F781" s="34" t="n"/>
    </row>
    <row r="783">
      <c r="A783" s="80" t="inlineStr">
        <is>
          <t>LOAN 20: 5 Peterbilt 579 (Jan 2024)</t>
        </is>
      </c>
      <c r="B783" s="81" t="n"/>
      <c r="C783" s="81" t="n"/>
      <c r="D783" s="81" t="n"/>
      <c r="E783" s="81" t="n"/>
      <c r="F783" s="81" t="n"/>
      <c r="G783" s="81" t="n"/>
    </row>
    <row r="784">
      <c r="B784" t="inlineStr">
        <is>
          <t>Loan ID</t>
        </is>
      </c>
      <c r="C784" s="2" t="inlineStr">
        <is>
          <t>05-2959-016-000-00</t>
        </is>
      </c>
    </row>
    <row r="785">
      <c r="B785" t="inlineStr">
        <is>
          <t>Account</t>
        </is>
      </c>
      <c r="C785" s="2" t="inlineStr">
        <is>
          <t>100-652-150-00007458888</t>
        </is>
      </c>
    </row>
    <row r="786">
      <c r="B786" t="inlineStr">
        <is>
          <t>Origination Date</t>
        </is>
      </c>
      <c r="C786" s="16" t="n">
        <v>45322</v>
      </c>
    </row>
    <row r="787">
      <c r="B787" t="inlineStr">
        <is>
          <t>Maturity Date</t>
        </is>
      </c>
      <c r="C787" s="16" t="n">
        <v>47438</v>
      </c>
    </row>
    <row r="788">
      <c r="B788" t="inlineStr">
        <is>
          <t>Original Balance</t>
        </is>
      </c>
      <c r="C788" s="3" t="n">
        <v>946797.3</v>
      </c>
    </row>
    <row r="789">
      <c r="B789" t="inlineStr">
        <is>
          <t>Remaining Balance (Nov 30, 2025)</t>
        </is>
      </c>
      <c r="C789" s="3" t="n">
        <v>735312</v>
      </c>
    </row>
    <row r="790">
      <c r="B790" t="inlineStr">
        <is>
          <t>Monthly Payment</t>
        </is>
      </c>
      <c r="C790" s="3" t="n">
        <v>17475.84</v>
      </c>
    </row>
    <row r="791">
      <c r="B791" t="inlineStr">
        <is>
          <t>Annual Interest Rate</t>
        </is>
      </c>
      <c r="C791" s="4" t="n">
        <v>0.0658</v>
      </c>
    </row>
    <row r="792">
      <c r="B792" s="6" t="inlineStr">
        <is>
          <t>Loan Type</t>
        </is>
      </c>
      <c r="C792" s="6" t="inlineStr">
        <is>
          <t>AMORTIZING</t>
        </is>
      </c>
    </row>
    <row r="793">
      <c r="B793" s="6" t="inlineStr">
        <is>
          <t>Use</t>
        </is>
      </c>
      <c r="C793" s="6" t="inlineStr">
        <is>
          <t>Equipment (Semi trucks)</t>
        </is>
      </c>
    </row>
    <row r="795">
      <c r="A795" s="23" t="inlineStr">
        <is>
          <t>Month #</t>
        </is>
      </c>
      <c r="B795" s="23" t="inlineStr">
        <is>
          <t>Date</t>
        </is>
      </c>
      <c r="C795" s="23" t="inlineStr">
        <is>
          <t>Opening Balance</t>
        </is>
      </c>
      <c r="D795" s="23" t="inlineStr">
        <is>
          <t>Interest</t>
        </is>
      </c>
      <c r="E795" s="23" t="inlineStr">
        <is>
          <t>Principal</t>
        </is>
      </c>
      <c r="F795" s="23" t="inlineStr">
        <is>
          <t>Closing Balance</t>
        </is>
      </c>
    </row>
    <row r="796">
      <c r="A796" s="34" t="n">
        <v>1</v>
      </c>
      <c r="B796" s="13" t="n">
        <v>46021</v>
      </c>
      <c r="C796" s="11">
        <f>$C$789</f>
        <v/>
      </c>
      <c r="D796" s="11">
        <f>MAX(0,C796*$C$791/12)</f>
        <v/>
      </c>
      <c r="E796" s="11">
        <f>MAX(0,MIN(C796,$C$790-D796))</f>
        <v/>
      </c>
      <c r="F796" s="11">
        <f>MAX(0,C796-E796)</f>
        <v/>
      </c>
    </row>
    <row r="797">
      <c r="A797" s="34" t="n">
        <v>2</v>
      </c>
      <c r="B797" s="13" t="n">
        <v>46052</v>
      </c>
      <c r="C797" s="11">
        <f>F796</f>
        <v/>
      </c>
      <c r="D797" s="11">
        <f>MAX(0,C797*$C$791/12)</f>
        <v/>
      </c>
      <c r="E797" s="11">
        <f>MAX(0,MIN(C797,$C$790-D797))</f>
        <v/>
      </c>
      <c r="F797" s="11">
        <f>MAX(0,C797-E797)</f>
        <v/>
      </c>
    </row>
    <row r="798">
      <c r="A798" s="34" t="n">
        <v>3</v>
      </c>
      <c r="B798" s="13" t="n">
        <v>46081</v>
      </c>
      <c r="C798" s="11">
        <f>F797</f>
        <v/>
      </c>
      <c r="D798" s="11">
        <f>MAX(0,C798*$C$791/12)</f>
        <v/>
      </c>
      <c r="E798" s="11">
        <f>MAX(0,MIN(C798,$C$790-D798))</f>
        <v/>
      </c>
      <c r="F798" s="11">
        <f>MAX(0,C798-E798)</f>
        <v/>
      </c>
    </row>
    <row r="799">
      <c r="A799" s="34" t="n">
        <v>4</v>
      </c>
      <c r="B799" s="13" t="n">
        <v>46111</v>
      </c>
      <c r="C799" s="11">
        <f>F798</f>
        <v/>
      </c>
      <c r="D799" s="11">
        <f>MAX(0,C799*$C$791/12)</f>
        <v/>
      </c>
      <c r="E799" s="11">
        <f>MAX(0,MIN(C799,$C$790-D799))</f>
        <v/>
      </c>
      <c r="F799" s="11">
        <f>MAX(0,C799-E799)</f>
        <v/>
      </c>
    </row>
    <row r="800">
      <c r="A800" s="34" t="n">
        <v>5</v>
      </c>
      <c r="B800" s="13" t="n">
        <v>46142</v>
      </c>
      <c r="C800" s="11">
        <f>F799</f>
        <v/>
      </c>
      <c r="D800" s="11">
        <f>MAX(0,C800*$C$791/12)</f>
        <v/>
      </c>
      <c r="E800" s="11">
        <f>MAX(0,MIN(C800,$C$790-D800))</f>
        <v/>
      </c>
      <c r="F800" s="11">
        <f>MAX(0,C800-E800)</f>
        <v/>
      </c>
    </row>
    <row r="801">
      <c r="A801" s="34" t="n">
        <v>6</v>
      </c>
      <c r="B801" s="13" t="n">
        <v>46172</v>
      </c>
      <c r="C801" s="11">
        <f>F800</f>
        <v/>
      </c>
      <c r="D801" s="11">
        <f>MAX(0,C801*$C$791/12)</f>
        <v/>
      </c>
      <c r="E801" s="11">
        <f>MAX(0,MIN(C801,$C$790-D801))</f>
        <v/>
      </c>
      <c r="F801" s="11">
        <f>MAX(0,C801-E801)</f>
        <v/>
      </c>
    </row>
    <row r="802">
      <c r="A802" s="34" t="n">
        <v>7</v>
      </c>
      <c r="B802" s="13" t="n">
        <v>46203</v>
      </c>
      <c r="C802" s="11">
        <f>F801</f>
        <v/>
      </c>
      <c r="D802" s="11">
        <f>MAX(0,C802*$C$791/12)</f>
        <v/>
      </c>
      <c r="E802" s="11">
        <f>MAX(0,MIN(C802,$C$790-D802))</f>
        <v/>
      </c>
      <c r="F802" s="11">
        <f>MAX(0,C802-E802)</f>
        <v/>
      </c>
    </row>
    <row r="803">
      <c r="A803" s="34" t="n">
        <v>8</v>
      </c>
      <c r="B803" s="13" t="n">
        <v>46233</v>
      </c>
      <c r="C803" s="11">
        <f>F802</f>
        <v/>
      </c>
      <c r="D803" s="11">
        <f>MAX(0,C803*$C$791/12)</f>
        <v/>
      </c>
      <c r="E803" s="11">
        <f>MAX(0,MIN(C803,$C$790-D803))</f>
        <v/>
      </c>
      <c r="F803" s="11">
        <f>MAX(0,C803-E803)</f>
        <v/>
      </c>
    </row>
    <row r="804">
      <c r="A804" s="34" t="n">
        <v>9</v>
      </c>
      <c r="B804" s="13" t="n">
        <v>46264</v>
      </c>
      <c r="C804" s="11">
        <f>F803</f>
        <v/>
      </c>
      <c r="D804" s="11">
        <f>MAX(0,C804*$C$791/12)</f>
        <v/>
      </c>
      <c r="E804" s="11">
        <f>MAX(0,MIN(C804,$C$790-D804))</f>
        <v/>
      </c>
      <c r="F804" s="11">
        <f>MAX(0,C804-E804)</f>
        <v/>
      </c>
    </row>
    <row r="805">
      <c r="A805" s="34" t="n">
        <v>10</v>
      </c>
      <c r="B805" s="13" t="n">
        <v>46295</v>
      </c>
      <c r="C805" s="11">
        <f>F804</f>
        <v/>
      </c>
      <c r="D805" s="11">
        <f>MAX(0,C805*$C$791/12)</f>
        <v/>
      </c>
      <c r="E805" s="11">
        <f>MAX(0,MIN(C805,$C$790-D805))</f>
        <v/>
      </c>
      <c r="F805" s="11">
        <f>MAX(0,C805-E805)</f>
        <v/>
      </c>
    </row>
    <row r="806">
      <c r="A806" s="34" t="n">
        <v>11</v>
      </c>
      <c r="B806" s="13" t="n">
        <v>46325</v>
      </c>
      <c r="C806" s="11">
        <f>F805</f>
        <v/>
      </c>
      <c r="D806" s="11">
        <f>MAX(0,C806*$C$791/12)</f>
        <v/>
      </c>
      <c r="E806" s="11">
        <f>MAX(0,MIN(C806,$C$790-D806))</f>
        <v/>
      </c>
      <c r="F806" s="11">
        <f>MAX(0,C806-E806)</f>
        <v/>
      </c>
    </row>
    <row r="807">
      <c r="A807" s="34" t="n">
        <v>12</v>
      </c>
      <c r="B807" s="13" t="n">
        <v>46356</v>
      </c>
      <c r="C807" s="11">
        <f>F806</f>
        <v/>
      </c>
      <c r="D807" s="11">
        <f>MAX(0,C807*$C$791/12)</f>
        <v/>
      </c>
      <c r="E807" s="11">
        <f>MAX(0,MIN(C807,$C$790-D807))</f>
        <v/>
      </c>
      <c r="F807" s="11">
        <f>MAX(0,C807-E807)</f>
        <v/>
      </c>
    </row>
    <row r="808">
      <c r="A808" s="34" t="n">
        <v>13</v>
      </c>
      <c r="B808" s="13" t="n">
        <v>46386</v>
      </c>
      <c r="C808" s="11">
        <f>F807</f>
        <v/>
      </c>
      <c r="D808" s="11">
        <f>MAX(0,C808*$C$791/12)</f>
        <v/>
      </c>
      <c r="E808" s="11">
        <f>MAX(0,MIN(C808,$C$790-D808))</f>
        <v/>
      </c>
      <c r="F808" s="11">
        <f>MAX(0,C808-E808)</f>
        <v/>
      </c>
    </row>
    <row r="809">
      <c r="A809" s="34" t="n">
        <v>14</v>
      </c>
      <c r="B809" s="13" t="n">
        <v>46417</v>
      </c>
      <c r="C809" s="11">
        <f>F808</f>
        <v/>
      </c>
      <c r="D809" s="11">
        <f>MAX(0,C809*$C$791/12)</f>
        <v/>
      </c>
      <c r="E809" s="11">
        <f>MAX(0,MIN(C809,$C$790-D809))</f>
        <v/>
      </c>
      <c r="F809" s="11">
        <f>MAX(0,C809-E809)</f>
        <v/>
      </c>
    </row>
    <row r="810">
      <c r="A810" s="34" t="n">
        <v>15</v>
      </c>
      <c r="B810" s="13" t="n">
        <v>46446</v>
      </c>
      <c r="C810" s="11">
        <f>F809</f>
        <v/>
      </c>
      <c r="D810" s="11">
        <f>MAX(0,C810*$C$791/12)</f>
        <v/>
      </c>
      <c r="E810" s="11">
        <f>MAX(0,MIN(C810,$C$790-D810))</f>
        <v/>
      </c>
      <c r="F810" s="11">
        <f>MAX(0,C810-E810)</f>
        <v/>
      </c>
    </row>
    <row r="811">
      <c r="A811" s="34" t="n">
        <v>16</v>
      </c>
      <c r="B811" s="13" t="n">
        <v>46476</v>
      </c>
      <c r="C811" s="11">
        <f>F810</f>
        <v/>
      </c>
      <c r="D811" s="11">
        <f>MAX(0,C811*$C$791/12)</f>
        <v/>
      </c>
      <c r="E811" s="11">
        <f>MAX(0,MIN(C811,$C$790-D811))</f>
        <v/>
      </c>
      <c r="F811" s="11">
        <f>MAX(0,C811-E811)</f>
        <v/>
      </c>
    </row>
    <row r="812">
      <c r="A812" s="34" t="n">
        <v>17</v>
      </c>
      <c r="B812" s="13" t="n">
        <v>46507</v>
      </c>
      <c r="C812" s="11">
        <f>F811</f>
        <v/>
      </c>
      <c r="D812" s="11">
        <f>MAX(0,C812*$C$791/12)</f>
        <v/>
      </c>
      <c r="E812" s="11">
        <f>MAX(0,MIN(C812,$C$790-D812))</f>
        <v/>
      </c>
      <c r="F812" s="11">
        <f>MAX(0,C812-E812)</f>
        <v/>
      </c>
    </row>
    <row r="813">
      <c r="A813" s="34" t="n">
        <v>18</v>
      </c>
      <c r="B813" s="13" t="n">
        <v>46537</v>
      </c>
      <c r="C813" s="11">
        <f>F812</f>
        <v/>
      </c>
      <c r="D813" s="11">
        <f>MAX(0,C813*$C$791/12)</f>
        <v/>
      </c>
      <c r="E813" s="11">
        <f>MAX(0,MIN(C813,$C$790-D813))</f>
        <v/>
      </c>
      <c r="F813" s="11">
        <f>MAX(0,C813-E813)</f>
        <v/>
      </c>
    </row>
    <row r="814">
      <c r="A814" s="34" t="n">
        <v>19</v>
      </c>
      <c r="B814" s="13" t="n">
        <v>46568</v>
      </c>
      <c r="C814" s="11">
        <f>F813</f>
        <v/>
      </c>
      <c r="D814" s="11">
        <f>MAX(0,C814*$C$791/12)</f>
        <v/>
      </c>
      <c r="E814" s="11">
        <f>MAX(0,MIN(C814,$C$790-D814))</f>
        <v/>
      </c>
      <c r="F814" s="11">
        <f>MAX(0,C814-E814)</f>
        <v/>
      </c>
    </row>
    <row r="815">
      <c r="A815" s="34" t="n">
        <v>20</v>
      </c>
      <c r="B815" s="13" t="n">
        <v>46598</v>
      </c>
      <c r="C815" s="11">
        <f>F814</f>
        <v/>
      </c>
      <c r="D815" s="11">
        <f>MAX(0,C815*$C$791/12)</f>
        <v/>
      </c>
      <c r="E815" s="11">
        <f>MAX(0,MIN(C815,$C$790-D815))</f>
        <v/>
      </c>
      <c r="F815" s="11">
        <f>MAX(0,C815-E815)</f>
        <v/>
      </c>
    </row>
    <row r="816">
      <c r="A816" s="34" t="n">
        <v>21</v>
      </c>
      <c r="B816" s="13" t="n">
        <v>46629</v>
      </c>
      <c r="C816" s="11">
        <f>F815</f>
        <v/>
      </c>
      <c r="D816" s="11">
        <f>MAX(0,C816*$C$791/12)</f>
        <v/>
      </c>
      <c r="E816" s="11">
        <f>MAX(0,MIN(C816,$C$790-D816))</f>
        <v/>
      </c>
      <c r="F816" s="11">
        <f>MAX(0,C816-E816)</f>
        <v/>
      </c>
    </row>
    <row r="817">
      <c r="A817" s="34" t="n">
        <v>22</v>
      </c>
      <c r="B817" s="13" t="n">
        <v>46660</v>
      </c>
      <c r="C817" s="11">
        <f>F816</f>
        <v/>
      </c>
      <c r="D817" s="11">
        <f>MAX(0,C817*$C$791/12)</f>
        <v/>
      </c>
      <c r="E817" s="11">
        <f>MAX(0,MIN(C817,$C$790-D817))</f>
        <v/>
      </c>
      <c r="F817" s="11">
        <f>MAX(0,C817-E817)</f>
        <v/>
      </c>
    </row>
    <row r="818">
      <c r="A818" s="34" t="n">
        <v>23</v>
      </c>
      <c r="B818" s="13" t="n">
        <v>46690</v>
      </c>
      <c r="C818" s="11">
        <f>F817</f>
        <v/>
      </c>
      <c r="D818" s="11">
        <f>MAX(0,C818*$C$791/12)</f>
        <v/>
      </c>
      <c r="E818" s="11">
        <f>MAX(0,MIN(C818,$C$790-D818))</f>
        <v/>
      </c>
      <c r="F818" s="11">
        <f>MAX(0,C818-E818)</f>
        <v/>
      </c>
    </row>
    <row r="819">
      <c r="A819" s="34" t="n">
        <v>24</v>
      </c>
      <c r="B819" s="13" t="n">
        <v>46721</v>
      </c>
      <c r="C819" s="11">
        <f>F818</f>
        <v/>
      </c>
      <c r="D819" s="11">
        <f>MAX(0,C819*$C$791/12)</f>
        <v/>
      </c>
      <c r="E819" s="11">
        <f>MAX(0,MIN(C819,$C$790-D819))</f>
        <v/>
      </c>
      <c r="F819" s="11">
        <f>MAX(0,C819-E819)</f>
        <v/>
      </c>
    </row>
    <row r="820">
      <c r="A820" s="34" t="n">
        <v>25</v>
      </c>
      <c r="B820" s="13" t="n">
        <v>46751</v>
      </c>
      <c r="C820" s="11">
        <f>F819</f>
        <v/>
      </c>
      <c r="D820" s="11">
        <f>MAX(0,C820*$C$791/12)</f>
        <v/>
      </c>
      <c r="E820" s="11">
        <f>MAX(0,MIN(C820,$C$790-D820))</f>
        <v/>
      </c>
      <c r="F820" s="11">
        <f>MAX(0,C820-E820)</f>
        <v/>
      </c>
    </row>
    <row r="821">
      <c r="A821" s="34" t="n">
        <v>26</v>
      </c>
      <c r="B821" s="13" t="n">
        <v>46782</v>
      </c>
      <c r="C821" s="11">
        <f>F820</f>
        <v/>
      </c>
      <c r="D821" s="11">
        <f>MAX(0,C821*$C$791/12)</f>
        <v/>
      </c>
      <c r="E821" s="11">
        <f>MAX(0,MIN(C821,$C$790-D821))</f>
        <v/>
      </c>
      <c r="F821" s="11">
        <f>MAX(0,C821-E821)</f>
        <v/>
      </c>
    </row>
    <row r="822">
      <c r="A822" s="34" t="n">
        <v>27</v>
      </c>
      <c r="B822" s="13" t="n">
        <v>46812</v>
      </c>
      <c r="C822" s="11">
        <f>F821</f>
        <v/>
      </c>
      <c r="D822" s="11">
        <f>MAX(0,C822*$C$791/12)</f>
        <v/>
      </c>
      <c r="E822" s="11">
        <f>MAX(0,MIN(C822,$C$790-D822))</f>
        <v/>
      </c>
      <c r="F822" s="11">
        <f>MAX(0,C822-E822)</f>
        <v/>
      </c>
    </row>
    <row r="823">
      <c r="A823" s="34" t="n">
        <v>28</v>
      </c>
      <c r="B823" s="13" t="n">
        <v>46842</v>
      </c>
      <c r="C823" s="11">
        <f>F822</f>
        <v/>
      </c>
      <c r="D823" s="11">
        <f>MAX(0,C823*$C$791/12)</f>
        <v/>
      </c>
      <c r="E823" s="11">
        <f>MAX(0,MIN(C823,$C$790-D823))</f>
        <v/>
      </c>
      <c r="F823" s="11">
        <f>MAX(0,C823-E823)</f>
        <v/>
      </c>
    </row>
    <row r="824">
      <c r="A824" s="34" t="n">
        <v>29</v>
      </c>
      <c r="B824" s="13" t="n">
        <v>46873</v>
      </c>
      <c r="C824" s="11">
        <f>F823</f>
        <v/>
      </c>
      <c r="D824" s="11">
        <f>MAX(0,C824*$C$791/12)</f>
        <v/>
      </c>
      <c r="E824" s="11">
        <f>MAX(0,MIN(C824,$C$790-D824))</f>
        <v/>
      </c>
      <c r="F824" s="11">
        <f>MAX(0,C824-E824)</f>
        <v/>
      </c>
    </row>
    <row r="825">
      <c r="A825" s="34" t="n">
        <v>30</v>
      </c>
      <c r="B825" s="13" t="n">
        <v>46903</v>
      </c>
      <c r="C825" s="11">
        <f>F824</f>
        <v/>
      </c>
      <c r="D825" s="11">
        <f>MAX(0,C825*$C$791/12)</f>
        <v/>
      </c>
      <c r="E825" s="11">
        <f>MAX(0,MIN(C825,$C$790-D825))</f>
        <v/>
      </c>
      <c r="F825" s="11">
        <f>MAX(0,C825-E825)</f>
        <v/>
      </c>
    </row>
    <row r="826">
      <c r="A826" s="34" t="n">
        <v>31</v>
      </c>
      <c r="B826" s="13" t="n">
        <v>46934</v>
      </c>
      <c r="C826" s="11">
        <f>F825</f>
        <v/>
      </c>
      <c r="D826" s="11">
        <f>MAX(0,C826*$C$791/12)</f>
        <v/>
      </c>
      <c r="E826" s="11">
        <f>MAX(0,MIN(C826,$C$790-D826))</f>
        <v/>
      </c>
      <c r="F826" s="11">
        <f>MAX(0,C826-E826)</f>
        <v/>
      </c>
    </row>
    <row r="827">
      <c r="A827" s="34" t="n">
        <v>32</v>
      </c>
      <c r="B827" s="13" t="n">
        <v>46964</v>
      </c>
      <c r="C827" s="11">
        <f>F826</f>
        <v/>
      </c>
      <c r="D827" s="11">
        <f>MAX(0,C827*$C$791/12)</f>
        <v/>
      </c>
      <c r="E827" s="11">
        <f>MAX(0,MIN(C827,$C$790-D827))</f>
        <v/>
      </c>
      <c r="F827" s="11">
        <f>MAX(0,C827-E827)</f>
        <v/>
      </c>
    </row>
    <row r="828">
      <c r="A828" s="34" t="n">
        <v>33</v>
      </c>
      <c r="B828" s="13" t="n">
        <v>46995</v>
      </c>
      <c r="C828" s="11">
        <f>F827</f>
        <v/>
      </c>
      <c r="D828" s="11">
        <f>MAX(0,C828*$C$791/12)</f>
        <v/>
      </c>
      <c r="E828" s="11">
        <f>MAX(0,MIN(C828,$C$790-D828))</f>
        <v/>
      </c>
      <c r="F828" s="11">
        <f>MAX(0,C828-E828)</f>
        <v/>
      </c>
    </row>
    <row r="829">
      <c r="A829" s="34" t="n">
        <v>34</v>
      </c>
      <c r="B829" s="13" t="n">
        <v>47026</v>
      </c>
      <c r="C829" s="11">
        <f>F828</f>
        <v/>
      </c>
      <c r="D829" s="11">
        <f>MAX(0,C829*$C$791/12)</f>
        <v/>
      </c>
      <c r="E829" s="11">
        <f>MAX(0,MIN(C829,$C$790-D829))</f>
        <v/>
      </c>
      <c r="F829" s="11">
        <f>MAX(0,C829-E829)</f>
        <v/>
      </c>
    </row>
    <row r="830">
      <c r="A830" s="34" t="n">
        <v>35</v>
      </c>
      <c r="B830" s="13" t="n">
        <v>47056</v>
      </c>
      <c r="C830" s="11">
        <f>F829</f>
        <v/>
      </c>
      <c r="D830" s="11">
        <f>MAX(0,C830*$C$791/12)</f>
        <v/>
      </c>
      <c r="E830" s="11">
        <f>MAX(0,MIN(C830,$C$790-D830))</f>
        <v/>
      </c>
      <c r="F830" s="11">
        <f>MAX(0,C830-E830)</f>
        <v/>
      </c>
    </row>
    <row r="831">
      <c r="A831" s="34" t="n">
        <v>36</v>
      </c>
      <c r="B831" s="13" t="n">
        <v>47087</v>
      </c>
      <c r="C831" s="11">
        <f>F830</f>
        <v/>
      </c>
      <c r="D831" s="11">
        <f>MAX(0,C831*$C$791/12)</f>
        <v/>
      </c>
      <c r="E831" s="11">
        <f>MAX(0,MIN(C831,$C$790-D831))</f>
        <v/>
      </c>
      <c r="F831" s="11">
        <f>MAX(0,C831-E831)</f>
        <v/>
      </c>
    </row>
    <row r="832">
      <c r="A832" s="34" t="n">
        <v>37</v>
      </c>
      <c r="B832" s="13" t="n">
        <v>47117</v>
      </c>
      <c r="C832" s="11">
        <f>F831</f>
        <v/>
      </c>
      <c r="D832" s="11">
        <f>MAX(0,C832*$C$791/12)</f>
        <v/>
      </c>
      <c r="E832" s="11">
        <f>MAX(0,MIN(C832,$C$790-D832))</f>
        <v/>
      </c>
      <c r="F832" s="11">
        <f>MAX(0,C832-E832)</f>
        <v/>
      </c>
    </row>
    <row r="833">
      <c r="A833" s="34" t="n">
        <v>38</v>
      </c>
      <c r="B833" s="13" t="n">
        <v>47148</v>
      </c>
      <c r="C833" s="11">
        <f>F832</f>
        <v/>
      </c>
      <c r="D833" s="11">
        <f>MAX(0,C833*$C$791/12)</f>
        <v/>
      </c>
      <c r="E833" s="11">
        <f>MAX(0,MIN(C833,$C$790-D833))</f>
        <v/>
      </c>
      <c r="F833" s="11">
        <f>MAX(0,C833-E833)</f>
        <v/>
      </c>
    </row>
    <row r="834">
      <c r="A834" s="34" t="n">
        <v>39</v>
      </c>
      <c r="B834" s="13" t="n">
        <v>47177</v>
      </c>
      <c r="C834" s="11">
        <f>F833</f>
        <v/>
      </c>
      <c r="D834" s="11">
        <f>MAX(0,C834*$C$791/12)</f>
        <v/>
      </c>
      <c r="E834" s="11">
        <f>MAX(0,MIN(C834,$C$790-D834))</f>
        <v/>
      </c>
      <c r="F834" s="11">
        <f>MAX(0,C834-E834)</f>
        <v/>
      </c>
    </row>
    <row r="835">
      <c r="A835" s="34" t="n">
        <v>40</v>
      </c>
      <c r="B835" s="13" t="n">
        <v>47207</v>
      </c>
      <c r="C835" s="11">
        <f>F834</f>
        <v/>
      </c>
      <c r="D835" s="11">
        <f>MAX(0,C835*$C$791/12)</f>
        <v/>
      </c>
      <c r="E835" s="11">
        <f>MAX(0,MIN(C835,$C$790-D835))</f>
        <v/>
      </c>
      <c r="F835" s="11">
        <f>MAX(0,C835-E835)</f>
        <v/>
      </c>
    </row>
    <row r="836">
      <c r="A836" s="34" t="n">
        <v>41</v>
      </c>
      <c r="B836" s="13" t="n">
        <v>47238</v>
      </c>
      <c r="C836" s="11">
        <f>F835</f>
        <v/>
      </c>
      <c r="D836" s="11">
        <f>MAX(0,C836*$C$791/12)</f>
        <v/>
      </c>
      <c r="E836" s="11">
        <f>MAX(0,MIN(C836,$C$790-D836))</f>
        <v/>
      </c>
      <c r="F836" s="11">
        <f>MAX(0,C836-E836)</f>
        <v/>
      </c>
    </row>
    <row r="837">
      <c r="A837" s="34" t="n">
        <v>42</v>
      </c>
      <c r="B837" s="13" t="n">
        <v>47268</v>
      </c>
      <c r="C837" s="11">
        <f>F836</f>
        <v/>
      </c>
      <c r="D837" s="11">
        <f>MAX(0,C837*$C$791/12)</f>
        <v/>
      </c>
      <c r="E837" s="11">
        <f>MAX(0,MIN(C837,$C$790-D837))</f>
        <v/>
      </c>
      <c r="F837" s="11">
        <f>MAX(0,C837-E837)</f>
        <v/>
      </c>
    </row>
    <row r="838">
      <c r="A838" s="34" t="n">
        <v>43</v>
      </c>
      <c r="B838" s="13" t="n">
        <v>47299</v>
      </c>
      <c r="C838" s="11">
        <f>F837</f>
        <v/>
      </c>
      <c r="D838" s="11">
        <f>MAX(0,C838*$C$791/12)</f>
        <v/>
      </c>
      <c r="E838" s="11">
        <f>MAX(0,MIN(C838,$C$790-D838))</f>
        <v/>
      </c>
      <c r="F838" s="11">
        <f>MAX(0,C838-E838)</f>
        <v/>
      </c>
    </row>
    <row r="839">
      <c r="A839" s="34" t="n">
        <v>44</v>
      </c>
      <c r="B839" s="13" t="n">
        <v>47329</v>
      </c>
      <c r="C839" s="11">
        <f>F838</f>
        <v/>
      </c>
      <c r="D839" s="11">
        <f>MAX(0,C839*$C$791/12)</f>
        <v/>
      </c>
      <c r="E839" s="11">
        <f>MAX(0,MIN(C839,$C$790-D839))</f>
        <v/>
      </c>
      <c r="F839" s="11">
        <f>MAX(0,C839-E839)</f>
        <v/>
      </c>
    </row>
    <row r="840">
      <c r="A840" s="34" t="n">
        <v>45</v>
      </c>
      <c r="B840" s="13" t="n">
        <v>47360</v>
      </c>
      <c r="C840" s="11">
        <f>F839</f>
        <v/>
      </c>
      <c r="D840" s="11">
        <f>MAX(0,C840*$C$791/12)</f>
        <v/>
      </c>
      <c r="E840" s="11">
        <f>MAX(0,MIN(C840,$C$790-D840))</f>
        <v/>
      </c>
      <c r="F840" s="11">
        <f>MAX(0,C840-E840)</f>
        <v/>
      </c>
    </row>
    <row r="841">
      <c r="A841" s="34" t="n">
        <v>46</v>
      </c>
      <c r="B841" s="13" t="n">
        <v>47391</v>
      </c>
      <c r="C841" s="11">
        <f>F840</f>
        <v/>
      </c>
      <c r="D841" s="11">
        <f>MAX(0,C841*$C$791/12)</f>
        <v/>
      </c>
      <c r="E841" s="11">
        <f>MAX(0,MIN(C841,$C$790-D841))</f>
        <v/>
      </c>
      <c r="F841" s="11">
        <f>MAX(0,C841-E841)</f>
        <v/>
      </c>
    </row>
    <row r="842">
      <c r="A842" s="34" t="n">
        <v>47</v>
      </c>
      <c r="B842" s="13" t="n">
        <v>47421</v>
      </c>
      <c r="C842" s="11">
        <f>F841</f>
        <v/>
      </c>
      <c r="D842" s="11">
        <f>MAX(0,C842*$C$791/12)</f>
        <v/>
      </c>
      <c r="E842" s="11">
        <f>MAX(0,MIN(C842,$C$790-D842))</f>
        <v/>
      </c>
      <c r="F842" s="11">
        <f>MAX(0,C842-E842)</f>
        <v/>
      </c>
    </row>
    <row r="843">
      <c r="A843" s="34" t="n">
        <v>48</v>
      </c>
      <c r="B843" s="13" t="n">
        <v>47452</v>
      </c>
      <c r="C843" s="11">
        <f>F842</f>
        <v/>
      </c>
      <c r="D843" s="11">
        <f>MAX(0,C843*$C$791/12)</f>
        <v/>
      </c>
      <c r="E843" s="11">
        <f>MAX(0,MIN(C843,$C$790-D843))</f>
        <v/>
      </c>
      <c r="F843" s="11">
        <f>MAX(0,C843-E843)</f>
        <v/>
      </c>
    </row>
    <row r="844">
      <c r="A844" s="34" t="n"/>
      <c r="B844" s="41" t="inlineStr">
        <is>
          <t>TOTAL</t>
        </is>
      </c>
      <c r="C844" s="34" t="n"/>
      <c r="D844" s="42">
        <f>SUM(D796:D843)</f>
        <v/>
      </c>
      <c r="E844" s="42">
        <f>SUM(E796:E843)</f>
        <v/>
      </c>
      <c r="F844" s="34" t="n"/>
    </row>
    <row r="846">
      <c r="A846" s="80" t="inlineStr">
        <is>
          <t>LOAN 21: 8 T680 (Feb 2024)</t>
        </is>
      </c>
      <c r="B846" s="81" t="n"/>
      <c r="C846" s="81" t="n"/>
      <c r="D846" s="81" t="n"/>
      <c r="E846" s="81" t="n"/>
      <c r="F846" s="81" t="n"/>
      <c r="G846" s="81" t="n"/>
    </row>
    <row r="847">
      <c r="B847" t="inlineStr">
        <is>
          <t>Loan ID</t>
        </is>
      </c>
      <c r="C847" s="2" t="inlineStr">
        <is>
          <t>05-2959-018-000-00</t>
        </is>
      </c>
    </row>
    <row r="848">
      <c r="B848" t="inlineStr">
        <is>
          <t>Account</t>
        </is>
      </c>
      <c r="C848" s="2" t="inlineStr">
        <is>
          <t>100-683-150-00007463649</t>
        </is>
      </c>
    </row>
    <row r="849">
      <c r="B849" t="inlineStr">
        <is>
          <t>Origination Date</t>
        </is>
      </c>
      <c r="C849" s="16" t="n">
        <v>45344</v>
      </c>
    </row>
    <row r="850">
      <c r="B850" t="inlineStr">
        <is>
          <t>Maturity Date</t>
        </is>
      </c>
      <c r="C850" s="16" t="n">
        <v>47459</v>
      </c>
    </row>
    <row r="851">
      <c r="B851" t="inlineStr">
        <is>
          <t>Original Balance</t>
        </is>
      </c>
      <c r="C851" s="3" t="n">
        <v>1484240</v>
      </c>
    </row>
    <row r="852">
      <c r="B852" t="inlineStr">
        <is>
          <t>Remaining Balance (Nov 30, 2025)</t>
        </is>
      </c>
      <c r="C852" s="3" t="n">
        <v>1173997</v>
      </c>
    </row>
    <row r="853">
      <c r="B853" t="inlineStr">
        <is>
          <t>Monthly Payment</t>
        </is>
      </c>
      <c r="C853" s="3" t="n">
        <v>27417.44</v>
      </c>
    </row>
    <row r="854">
      <c r="B854" t="inlineStr">
        <is>
          <t>Annual Interest Rate</t>
        </is>
      </c>
      <c r="C854" s="4" t="n">
        <v>0.06619999999999999</v>
      </c>
    </row>
    <row r="855">
      <c r="B855" s="6" t="inlineStr">
        <is>
          <t>Loan Type</t>
        </is>
      </c>
      <c r="C855" s="6" t="inlineStr">
        <is>
          <t>AMORTIZING</t>
        </is>
      </c>
    </row>
    <row r="856">
      <c r="B856" s="6" t="inlineStr">
        <is>
          <t>Use</t>
        </is>
      </c>
      <c r="C856" s="6" t="inlineStr">
        <is>
          <t>Equipment (Semi trucks)</t>
        </is>
      </c>
    </row>
    <row r="858">
      <c r="A858" s="23" t="inlineStr">
        <is>
          <t>Month #</t>
        </is>
      </c>
      <c r="B858" s="23" t="inlineStr">
        <is>
          <t>Date</t>
        </is>
      </c>
      <c r="C858" s="23" t="inlineStr">
        <is>
          <t>Opening Balance</t>
        </is>
      </c>
      <c r="D858" s="23" t="inlineStr">
        <is>
          <t>Interest</t>
        </is>
      </c>
      <c r="E858" s="23" t="inlineStr">
        <is>
          <t>Principal</t>
        </is>
      </c>
      <c r="F858" s="23" t="inlineStr">
        <is>
          <t>Closing Balance</t>
        </is>
      </c>
    </row>
    <row r="859">
      <c r="A859" s="34" t="n">
        <v>1</v>
      </c>
      <c r="B859" s="13" t="n">
        <v>46021</v>
      </c>
      <c r="C859" s="11">
        <f>$C$852</f>
        <v/>
      </c>
      <c r="D859" s="11">
        <f>MAX(0,C859*$C$854/12)</f>
        <v/>
      </c>
      <c r="E859" s="11">
        <f>MAX(0,MIN(C859,$C$853-D859))</f>
        <v/>
      </c>
      <c r="F859" s="11">
        <f>MAX(0,C859-E859)</f>
        <v/>
      </c>
    </row>
    <row r="860">
      <c r="A860" s="34" t="n">
        <v>2</v>
      </c>
      <c r="B860" s="13" t="n">
        <v>46052</v>
      </c>
      <c r="C860" s="11">
        <f>F859</f>
        <v/>
      </c>
      <c r="D860" s="11">
        <f>MAX(0,C860*$C$854/12)</f>
        <v/>
      </c>
      <c r="E860" s="11">
        <f>MAX(0,MIN(C860,$C$853-D860))</f>
        <v/>
      </c>
      <c r="F860" s="11">
        <f>MAX(0,C860-E860)</f>
        <v/>
      </c>
    </row>
    <row r="861">
      <c r="A861" s="34" t="n">
        <v>3</v>
      </c>
      <c r="B861" s="13" t="n">
        <v>46081</v>
      </c>
      <c r="C861" s="11">
        <f>F860</f>
        <v/>
      </c>
      <c r="D861" s="11">
        <f>MAX(0,C861*$C$854/12)</f>
        <v/>
      </c>
      <c r="E861" s="11">
        <f>MAX(0,MIN(C861,$C$853-D861))</f>
        <v/>
      </c>
      <c r="F861" s="11">
        <f>MAX(0,C861-E861)</f>
        <v/>
      </c>
    </row>
    <row r="862">
      <c r="A862" s="34" t="n">
        <v>4</v>
      </c>
      <c r="B862" s="13" t="n">
        <v>46111</v>
      </c>
      <c r="C862" s="11">
        <f>F861</f>
        <v/>
      </c>
      <c r="D862" s="11">
        <f>MAX(0,C862*$C$854/12)</f>
        <v/>
      </c>
      <c r="E862" s="11">
        <f>MAX(0,MIN(C862,$C$853-D862))</f>
        <v/>
      </c>
      <c r="F862" s="11">
        <f>MAX(0,C862-E862)</f>
        <v/>
      </c>
    </row>
    <row r="863">
      <c r="A863" s="34" t="n">
        <v>5</v>
      </c>
      <c r="B863" s="13" t="n">
        <v>46142</v>
      </c>
      <c r="C863" s="11">
        <f>F862</f>
        <v/>
      </c>
      <c r="D863" s="11">
        <f>MAX(0,C863*$C$854/12)</f>
        <v/>
      </c>
      <c r="E863" s="11">
        <f>MAX(0,MIN(C863,$C$853-D863))</f>
        <v/>
      </c>
      <c r="F863" s="11">
        <f>MAX(0,C863-E863)</f>
        <v/>
      </c>
    </row>
    <row r="864">
      <c r="A864" s="34" t="n">
        <v>6</v>
      </c>
      <c r="B864" s="13" t="n">
        <v>46172</v>
      </c>
      <c r="C864" s="11">
        <f>F863</f>
        <v/>
      </c>
      <c r="D864" s="11">
        <f>MAX(0,C864*$C$854/12)</f>
        <v/>
      </c>
      <c r="E864" s="11">
        <f>MAX(0,MIN(C864,$C$853-D864))</f>
        <v/>
      </c>
      <c r="F864" s="11">
        <f>MAX(0,C864-E864)</f>
        <v/>
      </c>
    </row>
    <row r="865">
      <c r="A865" s="34" t="n">
        <v>7</v>
      </c>
      <c r="B865" s="13" t="n">
        <v>46203</v>
      </c>
      <c r="C865" s="11">
        <f>F864</f>
        <v/>
      </c>
      <c r="D865" s="11">
        <f>MAX(0,C865*$C$854/12)</f>
        <v/>
      </c>
      <c r="E865" s="11">
        <f>MAX(0,MIN(C865,$C$853-D865))</f>
        <v/>
      </c>
      <c r="F865" s="11">
        <f>MAX(0,C865-E865)</f>
        <v/>
      </c>
    </row>
    <row r="866">
      <c r="A866" s="34" t="n">
        <v>8</v>
      </c>
      <c r="B866" s="13" t="n">
        <v>46233</v>
      </c>
      <c r="C866" s="11">
        <f>F865</f>
        <v/>
      </c>
      <c r="D866" s="11">
        <f>MAX(0,C866*$C$854/12)</f>
        <v/>
      </c>
      <c r="E866" s="11">
        <f>MAX(0,MIN(C866,$C$853-D866))</f>
        <v/>
      </c>
      <c r="F866" s="11">
        <f>MAX(0,C866-E866)</f>
        <v/>
      </c>
    </row>
    <row r="867">
      <c r="A867" s="34" t="n">
        <v>9</v>
      </c>
      <c r="B867" s="13" t="n">
        <v>46264</v>
      </c>
      <c r="C867" s="11">
        <f>F866</f>
        <v/>
      </c>
      <c r="D867" s="11">
        <f>MAX(0,C867*$C$854/12)</f>
        <v/>
      </c>
      <c r="E867" s="11">
        <f>MAX(0,MIN(C867,$C$853-D867))</f>
        <v/>
      </c>
      <c r="F867" s="11">
        <f>MAX(0,C867-E867)</f>
        <v/>
      </c>
    </row>
    <row r="868">
      <c r="A868" s="34" t="n">
        <v>10</v>
      </c>
      <c r="B868" s="13" t="n">
        <v>46295</v>
      </c>
      <c r="C868" s="11">
        <f>F867</f>
        <v/>
      </c>
      <c r="D868" s="11">
        <f>MAX(0,C868*$C$854/12)</f>
        <v/>
      </c>
      <c r="E868" s="11">
        <f>MAX(0,MIN(C868,$C$853-D868))</f>
        <v/>
      </c>
      <c r="F868" s="11">
        <f>MAX(0,C868-E868)</f>
        <v/>
      </c>
    </row>
    <row r="869">
      <c r="A869" s="34" t="n">
        <v>11</v>
      </c>
      <c r="B869" s="13" t="n">
        <v>46325</v>
      </c>
      <c r="C869" s="11">
        <f>F868</f>
        <v/>
      </c>
      <c r="D869" s="11">
        <f>MAX(0,C869*$C$854/12)</f>
        <v/>
      </c>
      <c r="E869" s="11">
        <f>MAX(0,MIN(C869,$C$853-D869))</f>
        <v/>
      </c>
      <c r="F869" s="11">
        <f>MAX(0,C869-E869)</f>
        <v/>
      </c>
    </row>
    <row r="870">
      <c r="A870" s="34" t="n">
        <v>12</v>
      </c>
      <c r="B870" s="13" t="n">
        <v>46356</v>
      </c>
      <c r="C870" s="11">
        <f>F869</f>
        <v/>
      </c>
      <c r="D870" s="11">
        <f>MAX(0,C870*$C$854/12)</f>
        <v/>
      </c>
      <c r="E870" s="11">
        <f>MAX(0,MIN(C870,$C$853-D870))</f>
        <v/>
      </c>
      <c r="F870" s="11">
        <f>MAX(0,C870-E870)</f>
        <v/>
      </c>
    </row>
    <row r="871">
      <c r="A871" s="34" t="n">
        <v>13</v>
      </c>
      <c r="B871" s="13" t="n">
        <v>46386</v>
      </c>
      <c r="C871" s="11">
        <f>F870</f>
        <v/>
      </c>
      <c r="D871" s="11">
        <f>MAX(0,C871*$C$854/12)</f>
        <v/>
      </c>
      <c r="E871" s="11">
        <f>MAX(0,MIN(C871,$C$853-D871))</f>
        <v/>
      </c>
      <c r="F871" s="11">
        <f>MAX(0,C871-E871)</f>
        <v/>
      </c>
    </row>
    <row r="872">
      <c r="A872" s="34" t="n">
        <v>14</v>
      </c>
      <c r="B872" s="13" t="n">
        <v>46417</v>
      </c>
      <c r="C872" s="11">
        <f>F871</f>
        <v/>
      </c>
      <c r="D872" s="11">
        <f>MAX(0,C872*$C$854/12)</f>
        <v/>
      </c>
      <c r="E872" s="11">
        <f>MAX(0,MIN(C872,$C$853-D872))</f>
        <v/>
      </c>
      <c r="F872" s="11">
        <f>MAX(0,C872-E872)</f>
        <v/>
      </c>
    </row>
    <row r="873">
      <c r="A873" s="34" t="n">
        <v>15</v>
      </c>
      <c r="B873" s="13" t="n">
        <v>46446</v>
      </c>
      <c r="C873" s="11">
        <f>F872</f>
        <v/>
      </c>
      <c r="D873" s="11">
        <f>MAX(0,C873*$C$854/12)</f>
        <v/>
      </c>
      <c r="E873" s="11">
        <f>MAX(0,MIN(C873,$C$853-D873))</f>
        <v/>
      </c>
      <c r="F873" s="11">
        <f>MAX(0,C873-E873)</f>
        <v/>
      </c>
    </row>
    <row r="874">
      <c r="A874" s="34" t="n">
        <v>16</v>
      </c>
      <c r="B874" s="13" t="n">
        <v>46476</v>
      </c>
      <c r="C874" s="11">
        <f>F873</f>
        <v/>
      </c>
      <c r="D874" s="11">
        <f>MAX(0,C874*$C$854/12)</f>
        <v/>
      </c>
      <c r="E874" s="11">
        <f>MAX(0,MIN(C874,$C$853-D874))</f>
        <v/>
      </c>
      <c r="F874" s="11">
        <f>MAX(0,C874-E874)</f>
        <v/>
      </c>
    </row>
    <row r="875">
      <c r="A875" s="34" t="n">
        <v>17</v>
      </c>
      <c r="B875" s="13" t="n">
        <v>46507</v>
      </c>
      <c r="C875" s="11">
        <f>F874</f>
        <v/>
      </c>
      <c r="D875" s="11">
        <f>MAX(0,C875*$C$854/12)</f>
        <v/>
      </c>
      <c r="E875" s="11">
        <f>MAX(0,MIN(C875,$C$853-D875))</f>
        <v/>
      </c>
      <c r="F875" s="11">
        <f>MAX(0,C875-E875)</f>
        <v/>
      </c>
    </row>
    <row r="876">
      <c r="A876" s="34" t="n">
        <v>18</v>
      </c>
      <c r="B876" s="13" t="n">
        <v>46537</v>
      </c>
      <c r="C876" s="11">
        <f>F875</f>
        <v/>
      </c>
      <c r="D876" s="11">
        <f>MAX(0,C876*$C$854/12)</f>
        <v/>
      </c>
      <c r="E876" s="11">
        <f>MAX(0,MIN(C876,$C$853-D876))</f>
        <v/>
      </c>
      <c r="F876" s="11">
        <f>MAX(0,C876-E876)</f>
        <v/>
      </c>
    </row>
    <row r="877">
      <c r="A877" s="34" t="n">
        <v>19</v>
      </c>
      <c r="B877" s="13" t="n">
        <v>46568</v>
      </c>
      <c r="C877" s="11">
        <f>F876</f>
        <v/>
      </c>
      <c r="D877" s="11">
        <f>MAX(0,C877*$C$854/12)</f>
        <v/>
      </c>
      <c r="E877" s="11">
        <f>MAX(0,MIN(C877,$C$853-D877))</f>
        <v/>
      </c>
      <c r="F877" s="11">
        <f>MAX(0,C877-E877)</f>
        <v/>
      </c>
    </row>
    <row r="878">
      <c r="A878" s="34" t="n">
        <v>20</v>
      </c>
      <c r="B878" s="13" t="n">
        <v>46598</v>
      </c>
      <c r="C878" s="11">
        <f>F877</f>
        <v/>
      </c>
      <c r="D878" s="11">
        <f>MAX(0,C878*$C$854/12)</f>
        <v/>
      </c>
      <c r="E878" s="11">
        <f>MAX(0,MIN(C878,$C$853-D878))</f>
        <v/>
      </c>
      <c r="F878" s="11">
        <f>MAX(0,C878-E878)</f>
        <v/>
      </c>
    </row>
    <row r="879">
      <c r="A879" s="34" t="n">
        <v>21</v>
      </c>
      <c r="B879" s="13" t="n">
        <v>46629</v>
      </c>
      <c r="C879" s="11">
        <f>F878</f>
        <v/>
      </c>
      <c r="D879" s="11">
        <f>MAX(0,C879*$C$854/12)</f>
        <v/>
      </c>
      <c r="E879" s="11">
        <f>MAX(0,MIN(C879,$C$853-D879))</f>
        <v/>
      </c>
      <c r="F879" s="11">
        <f>MAX(0,C879-E879)</f>
        <v/>
      </c>
    </row>
    <row r="880">
      <c r="A880" s="34" t="n">
        <v>22</v>
      </c>
      <c r="B880" s="13" t="n">
        <v>46660</v>
      </c>
      <c r="C880" s="11">
        <f>F879</f>
        <v/>
      </c>
      <c r="D880" s="11">
        <f>MAX(0,C880*$C$854/12)</f>
        <v/>
      </c>
      <c r="E880" s="11">
        <f>MAX(0,MIN(C880,$C$853-D880))</f>
        <v/>
      </c>
      <c r="F880" s="11">
        <f>MAX(0,C880-E880)</f>
        <v/>
      </c>
    </row>
    <row r="881">
      <c r="A881" s="34" t="n">
        <v>23</v>
      </c>
      <c r="B881" s="13" t="n">
        <v>46690</v>
      </c>
      <c r="C881" s="11">
        <f>F880</f>
        <v/>
      </c>
      <c r="D881" s="11">
        <f>MAX(0,C881*$C$854/12)</f>
        <v/>
      </c>
      <c r="E881" s="11">
        <f>MAX(0,MIN(C881,$C$853-D881))</f>
        <v/>
      </c>
      <c r="F881" s="11">
        <f>MAX(0,C881-E881)</f>
        <v/>
      </c>
    </row>
    <row r="882">
      <c r="A882" s="34" t="n">
        <v>24</v>
      </c>
      <c r="B882" s="13" t="n">
        <v>46721</v>
      </c>
      <c r="C882" s="11">
        <f>F881</f>
        <v/>
      </c>
      <c r="D882" s="11">
        <f>MAX(0,C882*$C$854/12)</f>
        <v/>
      </c>
      <c r="E882" s="11">
        <f>MAX(0,MIN(C882,$C$853-D882))</f>
        <v/>
      </c>
      <c r="F882" s="11">
        <f>MAX(0,C882-E882)</f>
        <v/>
      </c>
    </row>
    <row r="883">
      <c r="A883" s="34" t="n">
        <v>25</v>
      </c>
      <c r="B883" s="13" t="n">
        <v>46751</v>
      </c>
      <c r="C883" s="11">
        <f>F882</f>
        <v/>
      </c>
      <c r="D883" s="11">
        <f>MAX(0,C883*$C$854/12)</f>
        <v/>
      </c>
      <c r="E883" s="11">
        <f>MAX(0,MIN(C883,$C$853-D883))</f>
        <v/>
      </c>
      <c r="F883" s="11">
        <f>MAX(0,C883-E883)</f>
        <v/>
      </c>
    </row>
    <row r="884">
      <c r="A884" s="34" t="n">
        <v>26</v>
      </c>
      <c r="B884" s="13" t="n">
        <v>46782</v>
      </c>
      <c r="C884" s="11">
        <f>F883</f>
        <v/>
      </c>
      <c r="D884" s="11">
        <f>MAX(0,C884*$C$854/12)</f>
        <v/>
      </c>
      <c r="E884" s="11">
        <f>MAX(0,MIN(C884,$C$853-D884))</f>
        <v/>
      </c>
      <c r="F884" s="11">
        <f>MAX(0,C884-E884)</f>
        <v/>
      </c>
    </row>
    <row r="885">
      <c r="A885" s="34" t="n">
        <v>27</v>
      </c>
      <c r="B885" s="13" t="n">
        <v>46812</v>
      </c>
      <c r="C885" s="11">
        <f>F884</f>
        <v/>
      </c>
      <c r="D885" s="11">
        <f>MAX(0,C885*$C$854/12)</f>
        <v/>
      </c>
      <c r="E885" s="11">
        <f>MAX(0,MIN(C885,$C$853-D885))</f>
        <v/>
      </c>
      <c r="F885" s="11">
        <f>MAX(0,C885-E885)</f>
        <v/>
      </c>
    </row>
    <row r="886">
      <c r="A886" s="34" t="n">
        <v>28</v>
      </c>
      <c r="B886" s="13" t="n">
        <v>46842</v>
      </c>
      <c r="C886" s="11">
        <f>F885</f>
        <v/>
      </c>
      <c r="D886" s="11">
        <f>MAX(0,C886*$C$854/12)</f>
        <v/>
      </c>
      <c r="E886" s="11">
        <f>MAX(0,MIN(C886,$C$853-D886))</f>
        <v/>
      </c>
      <c r="F886" s="11">
        <f>MAX(0,C886-E886)</f>
        <v/>
      </c>
    </row>
    <row r="887">
      <c r="A887" s="34" t="n">
        <v>29</v>
      </c>
      <c r="B887" s="13" t="n">
        <v>46873</v>
      </c>
      <c r="C887" s="11">
        <f>F886</f>
        <v/>
      </c>
      <c r="D887" s="11">
        <f>MAX(0,C887*$C$854/12)</f>
        <v/>
      </c>
      <c r="E887" s="11">
        <f>MAX(0,MIN(C887,$C$853-D887))</f>
        <v/>
      </c>
      <c r="F887" s="11">
        <f>MAX(0,C887-E887)</f>
        <v/>
      </c>
    </row>
    <row r="888">
      <c r="A888" s="34" t="n">
        <v>30</v>
      </c>
      <c r="B888" s="13" t="n">
        <v>46903</v>
      </c>
      <c r="C888" s="11">
        <f>F887</f>
        <v/>
      </c>
      <c r="D888" s="11">
        <f>MAX(0,C888*$C$854/12)</f>
        <v/>
      </c>
      <c r="E888" s="11">
        <f>MAX(0,MIN(C888,$C$853-D888))</f>
        <v/>
      </c>
      <c r="F888" s="11">
        <f>MAX(0,C888-E888)</f>
        <v/>
      </c>
    </row>
    <row r="889">
      <c r="A889" s="34" t="n">
        <v>31</v>
      </c>
      <c r="B889" s="13" t="n">
        <v>46934</v>
      </c>
      <c r="C889" s="11">
        <f>F888</f>
        <v/>
      </c>
      <c r="D889" s="11">
        <f>MAX(0,C889*$C$854/12)</f>
        <v/>
      </c>
      <c r="E889" s="11">
        <f>MAX(0,MIN(C889,$C$853-D889))</f>
        <v/>
      </c>
      <c r="F889" s="11">
        <f>MAX(0,C889-E889)</f>
        <v/>
      </c>
    </row>
    <row r="890">
      <c r="A890" s="34" t="n">
        <v>32</v>
      </c>
      <c r="B890" s="13" t="n">
        <v>46964</v>
      </c>
      <c r="C890" s="11">
        <f>F889</f>
        <v/>
      </c>
      <c r="D890" s="11">
        <f>MAX(0,C890*$C$854/12)</f>
        <v/>
      </c>
      <c r="E890" s="11">
        <f>MAX(0,MIN(C890,$C$853-D890))</f>
        <v/>
      </c>
      <c r="F890" s="11">
        <f>MAX(0,C890-E890)</f>
        <v/>
      </c>
    </row>
    <row r="891">
      <c r="A891" s="34" t="n">
        <v>33</v>
      </c>
      <c r="B891" s="13" t="n">
        <v>46995</v>
      </c>
      <c r="C891" s="11">
        <f>F890</f>
        <v/>
      </c>
      <c r="D891" s="11">
        <f>MAX(0,C891*$C$854/12)</f>
        <v/>
      </c>
      <c r="E891" s="11">
        <f>MAX(0,MIN(C891,$C$853-D891))</f>
        <v/>
      </c>
      <c r="F891" s="11">
        <f>MAX(0,C891-E891)</f>
        <v/>
      </c>
    </row>
    <row r="892">
      <c r="A892" s="34" t="n">
        <v>34</v>
      </c>
      <c r="B892" s="13" t="n">
        <v>47026</v>
      </c>
      <c r="C892" s="11">
        <f>F891</f>
        <v/>
      </c>
      <c r="D892" s="11">
        <f>MAX(0,C892*$C$854/12)</f>
        <v/>
      </c>
      <c r="E892" s="11">
        <f>MAX(0,MIN(C892,$C$853-D892))</f>
        <v/>
      </c>
      <c r="F892" s="11">
        <f>MAX(0,C892-E892)</f>
        <v/>
      </c>
    </row>
    <row r="893">
      <c r="A893" s="34" t="n">
        <v>35</v>
      </c>
      <c r="B893" s="13" t="n">
        <v>47056</v>
      </c>
      <c r="C893" s="11">
        <f>F892</f>
        <v/>
      </c>
      <c r="D893" s="11">
        <f>MAX(0,C893*$C$854/12)</f>
        <v/>
      </c>
      <c r="E893" s="11">
        <f>MAX(0,MIN(C893,$C$853-D893))</f>
        <v/>
      </c>
      <c r="F893" s="11">
        <f>MAX(0,C893-E893)</f>
        <v/>
      </c>
    </row>
    <row r="894">
      <c r="A894" s="34" t="n">
        <v>36</v>
      </c>
      <c r="B894" s="13" t="n">
        <v>47087</v>
      </c>
      <c r="C894" s="11">
        <f>F893</f>
        <v/>
      </c>
      <c r="D894" s="11">
        <f>MAX(0,C894*$C$854/12)</f>
        <v/>
      </c>
      <c r="E894" s="11">
        <f>MAX(0,MIN(C894,$C$853-D894))</f>
        <v/>
      </c>
      <c r="F894" s="11">
        <f>MAX(0,C894-E894)</f>
        <v/>
      </c>
    </row>
    <row r="895">
      <c r="A895" s="34" t="n">
        <v>37</v>
      </c>
      <c r="B895" s="13" t="n">
        <v>47117</v>
      </c>
      <c r="C895" s="11">
        <f>F894</f>
        <v/>
      </c>
      <c r="D895" s="11">
        <f>MAX(0,C895*$C$854/12)</f>
        <v/>
      </c>
      <c r="E895" s="11">
        <f>MAX(0,MIN(C895,$C$853-D895))</f>
        <v/>
      </c>
      <c r="F895" s="11">
        <f>MAX(0,C895-E895)</f>
        <v/>
      </c>
    </row>
    <row r="896">
      <c r="A896" s="34" t="n">
        <v>38</v>
      </c>
      <c r="B896" s="13" t="n">
        <v>47148</v>
      </c>
      <c r="C896" s="11">
        <f>F895</f>
        <v/>
      </c>
      <c r="D896" s="11">
        <f>MAX(0,C896*$C$854/12)</f>
        <v/>
      </c>
      <c r="E896" s="11">
        <f>MAX(0,MIN(C896,$C$853-D896))</f>
        <v/>
      </c>
      <c r="F896" s="11">
        <f>MAX(0,C896-E896)</f>
        <v/>
      </c>
    </row>
    <row r="897">
      <c r="A897" s="34" t="n">
        <v>39</v>
      </c>
      <c r="B897" s="13" t="n">
        <v>47177</v>
      </c>
      <c r="C897" s="11">
        <f>F896</f>
        <v/>
      </c>
      <c r="D897" s="11">
        <f>MAX(0,C897*$C$854/12)</f>
        <v/>
      </c>
      <c r="E897" s="11">
        <f>MAX(0,MIN(C897,$C$853-D897))</f>
        <v/>
      </c>
      <c r="F897" s="11">
        <f>MAX(0,C897-E897)</f>
        <v/>
      </c>
    </row>
    <row r="898">
      <c r="A898" s="34" t="n">
        <v>40</v>
      </c>
      <c r="B898" s="13" t="n">
        <v>47207</v>
      </c>
      <c r="C898" s="11">
        <f>F897</f>
        <v/>
      </c>
      <c r="D898" s="11">
        <f>MAX(0,C898*$C$854/12)</f>
        <v/>
      </c>
      <c r="E898" s="11">
        <f>MAX(0,MIN(C898,$C$853-D898))</f>
        <v/>
      </c>
      <c r="F898" s="11">
        <f>MAX(0,C898-E898)</f>
        <v/>
      </c>
    </row>
    <row r="899">
      <c r="A899" s="34" t="n">
        <v>41</v>
      </c>
      <c r="B899" s="13" t="n">
        <v>47238</v>
      </c>
      <c r="C899" s="11">
        <f>F898</f>
        <v/>
      </c>
      <c r="D899" s="11">
        <f>MAX(0,C899*$C$854/12)</f>
        <v/>
      </c>
      <c r="E899" s="11">
        <f>MAX(0,MIN(C899,$C$853-D899))</f>
        <v/>
      </c>
      <c r="F899" s="11">
        <f>MAX(0,C899-E899)</f>
        <v/>
      </c>
    </row>
    <row r="900">
      <c r="A900" s="34" t="n">
        <v>42</v>
      </c>
      <c r="B900" s="13" t="n">
        <v>47268</v>
      </c>
      <c r="C900" s="11">
        <f>F899</f>
        <v/>
      </c>
      <c r="D900" s="11">
        <f>MAX(0,C900*$C$854/12)</f>
        <v/>
      </c>
      <c r="E900" s="11">
        <f>MAX(0,MIN(C900,$C$853-D900))</f>
        <v/>
      </c>
      <c r="F900" s="11">
        <f>MAX(0,C900-E900)</f>
        <v/>
      </c>
    </row>
    <row r="901">
      <c r="A901" s="34" t="n">
        <v>43</v>
      </c>
      <c r="B901" s="13" t="n">
        <v>47299</v>
      </c>
      <c r="C901" s="11">
        <f>F900</f>
        <v/>
      </c>
      <c r="D901" s="11">
        <f>MAX(0,C901*$C$854/12)</f>
        <v/>
      </c>
      <c r="E901" s="11">
        <f>MAX(0,MIN(C901,$C$853-D901))</f>
        <v/>
      </c>
      <c r="F901" s="11">
        <f>MAX(0,C901-E901)</f>
        <v/>
      </c>
    </row>
    <row r="902">
      <c r="A902" s="34" t="n">
        <v>44</v>
      </c>
      <c r="B902" s="13" t="n">
        <v>47329</v>
      </c>
      <c r="C902" s="11">
        <f>F901</f>
        <v/>
      </c>
      <c r="D902" s="11">
        <f>MAX(0,C902*$C$854/12)</f>
        <v/>
      </c>
      <c r="E902" s="11">
        <f>MAX(0,MIN(C902,$C$853-D902))</f>
        <v/>
      </c>
      <c r="F902" s="11">
        <f>MAX(0,C902-E902)</f>
        <v/>
      </c>
    </row>
    <row r="903">
      <c r="A903" s="34" t="n">
        <v>45</v>
      </c>
      <c r="B903" s="13" t="n">
        <v>47360</v>
      </c>
      <c r="C903" s="11">
        <f>F902</f>
        <v/>
      </c>
      <c r="D903" s="11">
        <f>MAX(0,C903*$C$854/12)</f>
        <v/>
      </c>
      <c r="E903" s="11">
        <f>MAX(0,MIN(C903,$C$853-D903))</f>
        <v/>
      </c>
      <c r="F903" s="11">
        <f>MAX(0,C903-E903)</f>
        <v/>
      </c>
    </row>
    <row r="904">
      <c r="A904" s="34" t="n">
        <v>46</v>
      </c>
      <c r="B904" s="13" t="n">
        <v>47391</v>
      </c>
      <c r="C904" s="11">
        <f>F903</f>
        <v/>
      </c>
      <c r="D904" s="11">
        <f>MAX(0,C904*$C$854/12)</f>
        <v/>
      </c>
      <c r="E904" s="11">
        <f>MAX(0,MIN(C904,$C$853-D904))</f>
        <v/>
      </c>
      <c r="F904" s="11">
        <f>MAX(0,C904-E904)</f>
        <v/>
      </c>
    </row>
    <row r="905">
      <c r="A905" s="34" t="n">
        <v>47</v>
      </c>
      <c r="B905" s="13" t="n">
        <v>47421</v>
      </c>
      <c r="C905" s="11">
        <f>F904</f>
        <v/>
      </c>
      <c r="D905" s="11">
        <f>MAX(0,C905*$C$854/12)</f>
        <v/>
      </c>
      <c r="E905" s="11">
        <f>MAX(0,MIN(C905,$C$853-D905))</f>
        <v/>
      </c>
      <c r="F905" s="11">
        <f>MAX(0,C905-E905)</f>
        <v/>
      </c>
    </row>
    <row r="906">
      <c r="A906" s="34" t="n">
        <v>48</v>
      </c>
      <c r="B906" s="13" t="n">
        <v>47452</v>
      </c>
      <c r="C906" s="11">
        <f>F905</f>
        <v/>
      </c>
      <c r="D906" s="11">
        <f>MAX(0,C906*$C$854/12)</f>
        <v/>
      </c>
      <c r="E906" s="11">
        <f>MAX(0,MIN(C906,$C$853-D906))</f>
        <v/>
      </c>
      <c r="F906" s="11">
        <f>MAX(0,C906-E906)</f>
        <v/>
      </c>
    </row>
    <row r="907">
      <c r="A907" s="34" t="n">
        <v>49</v>
      </c>
      <c r="B907" s="13" t="n">
        <v>47482</v>
      </c>
      <c r="C907" s="11">
        <f>F906</f>
        <v/>
      </c>
      <c r="D907" s="11">
        <f>MAX(0,C907*$C$854/12)</f>
        <v/>
      </c>
      <c r="E907" s="11">
        <f>MAX(0,MIN(C907,$C$853-D907))</f>
        <v/>
      </c>
      <c r="F907" s="11">
        <f>MAX(0,C907-E907)</f>
        <v/>
      </c>
    </row>
    <row r="908">
      <c r="A908" s="34" t="n"/>
      <c r="B908" s="41" t="inlineStr">
        <is>
          <t>TOTAL</t>
        </is>
      </c>
      <c r="C908" s="34" t="n"/>
      <c r="D908" s="42">
        <f>SUM(D859:D907)</f>
        <v/>
      </c>
      <c r="E908" s="42">
        <f>SUM(E859:E907)</f>
        <v/>
      </c>
      <c r="F908" s="34" t="n"/>
    </row>
    <row r="910">
      <c r="A910" s="80" t="inlineStr">
        <is>
          <t>LOAN 22: 5 Peterbilt 579 (Feb 2024)</t>
        </is>
      </c>
      <c r="B910" s="81" t="n"/>
      <c r="C910" s="81" t="n"/>
      <c r="D910" s="81" t="n"/>
      <c r="E910" s="81" t="n"/>
      <c r="F910" s="81" t="n"/>
      <c r="G910" s="81" t="n"/>
    </row>
    <row r="911">
      <c r="B911" t="inlineStr">
        <is>
          <t>Loan ID</t>
        </is>
      </c>
      <c r="C911" s="2" t="inlineStr">
        <is>
          <t>05-2959-019-000-00</t>
        </is>
      </c>
    </row>
    <row r="912">
      <c r="B912" t="inlineStr">
        <is>
          <t>Account</t>
        </is>
      </c>
      <c r="C912" s="2" t="inlineStr">
        <is>
          <t>100-683-150-00007464415</t>
        </is>
      </c>
    </row>
    <row r="913">
      <c r="B913" t="inlineStr">
        <is>
          <t>Origination Date</t>
        </is>
      </c>
      <c r="C913" s="16" t="n">
        <v>45349</v>
      </c>
    </row>
    <row r="914">
      <c r="B914" t="inlineStr">
        <is>
          <t>Maturity Date</t>
        </is>
      </c>
      <c r="C914" s="16" t="n">
        <v>47465</v>
      </c>
    </row>
    <row r="915">
      <c r="B915" t="inlineStr">
        <is>
          <t>Original Balance</t>
        </is>
      </c>
      <c r="C915" s="3" t="n">
        <v>946797.3</v>
      </c>
    </row>
    <row r="916">
      <c r="B916" t="inlineStr">
        <is>
          <t>Remaining Balance (Nov 30, 2025)</t>
        </is>
      </c>
      <c r="C916" s="3" t="n">
        <v>748868</v>
      </c>
    </row>
    <row r="917">
      <c r="B917" t="inlineStr">
        <is>
          <t>Monthly Payment</t>
        </is>
      </c>
      <c r="C917" s="3" t="n">
        <v>17494.31</v>
      </c>
    </row>
    <row r="918">
      <c r="B918" t="inlineStr">
        <is>
          <t>Annual Interest Rate</t>
        </is>
      </c>
      <c r="C918" s="4" t="n">
        <v>0.06619999999999999</v>
      </c>
    </row>
    <row r="919">
      <c r="B919" s="6" t="inlineStr">
        <is>
          <t>Loan Type</t>
        </is>
      </c>
      <c r="C919" s="6" t="inlineStr">
        <is>
          <t>AMORTIZING</t>
        </is>
      </c>
    </row>
    <row r="920">
      <c r="B920" s="6" t="inlineStr">
        <is>
          <t>Use</t>
        </is>
      </c>
      <c r="C920" s="6" t="inlineStr">
        <is>
          <t>Equipment (Semi trucks)</t>
        </is>
      </c>
    </row>
    <row r="922">
      <c r="A922" s="23" t="inlineStr">
        <is>
          <t>Month #</t>
        </is>
      </c>
      <c r="B922" s="23" t="inlineStr">
        <is>
          <t>Date</t>
        </is>
      </c>
      <c r="C922" s="23" t="inlineStr">
        <is>
          <t>Opening Balance</t>
        </is>
      </c>
      <c r="D922" s="23" t="inlineStr">
        <is>
          <t>Interest</t>
        </is>
      </c>
      <c r="E922" s="23" t="inlineStr">
        <is>
          <t>Principal</t>
        </is>
      </c>
      <c r="F922" s="23" t="inlineStr">
        <is>
          <t>Closing Balance</t>
        </is>
      </c>
    </row>
    <row r="923">
      <c r="A923" s="34" t="n">
        <v>1</v>
      </c>
      <c r="B923" s="13" t="n">
        <v>46021</v>
      </c>
      <c r="C923" s="11">
        <f>$C$916</f>
        <v/>
      </c>
      <c r="D923" s="11">
        <f>MAX(0,C923*$C$918/12)</f>
        <v/>
      </c>
      <c r="E923" s="11">
        <f>MAX(0,MIN(C923,$C$917-D923))</f>
        <v/>
      </c>
      <c r="F923" s="11">
        <f>MAX(0,C923-E923)</f>
        <v/>
      </c>
    </row>
    <row r="924">
      <c r="A924" s="34" t="n">
        <v>2</v>
      </c>
      <c r="B924" s="13" t="n">
        <v>46052</v>
      </c>
      <c r="C924" s="11">
        <f>F923</f>
        <v/>
      </c>
      <c r="D924" s="11">
        <f>MAX(0,C924*$C$918/12)</f>
        <v/>
      </c>
      <c r="E924" s="11">
        <f>MAX(0,MIN(C924,$C$917-D924))</f>
        <v/>
      </c>
      <c r="F924" s="11">
        <f>MAX(0,C924-E924)</f>
        <v/>
      </c>
    </row>
    <row r="925">
      <c r="A925" s="34" t="n">
        <v>3</v>
      </c>
      <c r="B925" s="13" t="n">
        <v>46081</v>
      </c>
      <c r="C925" s="11">
        <f>F924</f>
        <v/>
      </c>
      <c r="D925" s="11">
        <f>MAX(0,C925*$C$918/12)</f>
        <v/>
      </c>
      <c r="E925" s="11">
        <f>MAX(0,MIN(C925,$C$917-D925))</f>
        <v/>
      </c>
      <c r="F925" s="11">
        <f>MAX(0,C925-E925)</f>
        <v/>
      </c>
    </row>
    <row r="926">
      <c r="A926" s="34" t="n">
        <v>4</v>
      </c>
      <c r="B926" s="13" t="n">
        <v>46111</v>
      </c>
      <c r="C926" s="11">
        <f>F925</f>
        <v/>
      </c>
      <c r="D926" s="11">
        <f>MAX(0,C926*$C$918/12)</f>
        <v/>
      </c>
      <c r="E926" s="11">
        <f>MAX(0,MIN(C926,$C$917-D926))</f>
        <v/>
      </c>
      <c r="F926" s="11">
        <f>MAX(0,C926-E926)</f>
        <v/>
      </c>
    </row>
    <row r="927">
      <c r="A927" s="34" t="n">
        <v>5</v>
      </c>
      <c r="B927" s="13" t="n">
        <v>46142</v>
      </c>
      <c r="C927" s="11">
        <f>F926</f>
        <v/>
      </c>
      <c r="D927" s="11">
        <f>MAX(0,C927*$C$918/12)</f>
        <v/>
      </c>
      <c r="E927" s="11">
        <f>MAX(0,MIN(C927,$C$917-D927))</f>
        <v/>
      </c>
      <c r="F927" s="11">
        <f>MAX(0,C927-E927)</f>
        <v/>
      </c>
    </row>
    <row r="928">
      <c r="A928" s="34" t="n">
        <v>6</v>
      </c>
      <c r="B928" s="13" t="n">
        <v>46172</v>
      </c>
      <c r="C928" s="11">
        <f>F927</f>
        <v/>
      </c>
      <c r="D928" s="11">
        <f>MAX(0,C928*$C$918/12)</f>
        <v/>
      </c>
      <c r="E928" s="11">
        <f>MAX(0,MIN(C928,$C$917-D928))</f>
        <v/>
      </c>
      <c r="F928" s="11">
        <f>MAX(0,C928-E928)</f>
        <v/>
      </c>
    </row>
    <row r="929">
      <c r="A929" s="34" t="n">
        <v>7</v>
      </c>
      <c r="B929" s="13" t="n">
        <v>46203</v>
      </c>
      <c r="C929" s="11">
        <f>F928</f>
        <v/>
      </c>
      <c r="D929" s="11">
        <f>MAX(0,C929*$C$918/12)</f>
        <v/>
      </c>
      <c r="E929" s="11">
        <f>MAX(0,MIN(C929,$C$917-D929))</f>
        <v/>
      </c>
      <c r="F929" s="11">
        <f>MAX(0,C929-E929)</f>
        <v/>
      </c>
    </row>
    <row r="930">
      <c r="A930" s="34" t="n">
        <v>8</v>
      </c>
      <c r="B930" s="13" t="n">
        <v>46233</v>
      </c>
      <c r="C930" s="11">
        <f>F929</f>
        <v/>
      </c>
      <c r="D930" s="11">
        <f>MAX(0,C930*$C$918/12)</f>
        <v/>
      </c>
      <c r="E930" s="11">
        <f>MAX(0,MIN(C930,$C$917-D930))</f>
        <v/>
      </c>
      <c r="F930" s="11">
        <f>MAX(0,C930-E930)</f>
        <v/>
      </c>
    </row>
    <row r="931">
      <c r="A931" s="34" t="n">
        <v>9</v>
      </c>
      <c r="B931" s="13" t="n">
        <v>46264</v>
      </c>
      <c r="C931" s="11">
        <f>F930</f>
        <v/>
      </c>
      <c r="D931" s="11">
        <f>MAX(0,C931*$C$918/12)</f>
        <v/>
      </c>
      <c r="E931" s="11">
        <f>MAX(0,MIN(C931,$C$917-D931))</f>
        <v/>
      </c>
      <c r="F931" s="11">
        <f>MAX(0,C931-E931)</f>
        <v/>
      </c>
    </row>
    <row r="932">
      <c r="A932" s="34" t="n">
        <v>10</v>
      </c>
      <c r="B932" s="13" t="n">
        <v>46295</v>
      </c>
      <c r="C932" s="11">
        <f>F931</f>
        <v/>
      </c>
      <c r="D932" s="11">
        <f>MAX(0,C932*$C$918/12)</f>
        <v/>
      </c>
      <c r="E932" s="11">
        <f>MAX(0,MIN(C932,$C$917-D932))</f>
        <v/>
      </c>
      <c r="F932" s="11">
        <f>MAX(0,C932-E932)</f>
        <v/>
      </c>
    </row>
    <row r="933">
      <c r="A933" s="34" t="n">
        <v>11</v>
      </c>
      <c r="B933" s="13" t="n">
        <v>46325</v>
      </c>
      <c r="C933" s="11">
        <f>F932</f>
        <v/>
      </c>
      <c r="D933" s="11">
        <f>MAX(0,C933*$C$918/12)</f>
        <v/>
      </c>
      <c r="E933" s="11">
        <f>MAX(0,MIN(C933,$C$917-D933))</f>
        <v/>
      </c>
      <c r="F933" s="11">
        <f>MAX(0,C933-E933)</f>
        <v/>
      </c>
    </row>
    <row r="934">
      <c r="A934" s="34" t="n">
        <v>12</v>
      </c>
      <c r="B934" s="13" t="n">
        <v>46356</v>
      </c>
      <c r="C934" s="11">
        <f>F933</f>
        <v/>
      </c>
      <c r="D934" s="11">
        <f>MAX(0,C934*$C$918/12)</f>
        <v/>
      </c>
      <c r="E934" s="11">
        <f>MAX(0,MIN(C934,$C$917-D934))</f>
        <v/>
      </c>
      <c r="F934" s="11">
        <f>MAX(0,C934-E934)</f>
        <v/>
      </c>
    </row>
    <row r="935">
      <c r="A935" s="34" t="n">
        <v>13</v>
      </c>
      <c r="B935" s="13" t="n">
        <v>46386</v>
      </c>
      <c r="C935" s="11">
        <f>F934</f>
        <v/>
      </c>
      <c r="D935" s="11">
        <f>MAX(0,C935*$C$918/12)</f>
        <v/>
      </c>
      <c r="E935" s="11">
        <f>MAX(0,MIN(C935,$C$917-D935))</f>
        <v/>
      </c>
      <c r="F935" s="11">
        <f>MAX(0,C935-E935)</f>
        <v/>
      </c>
    </row>
    <row r="936">
      <c r="A936" s="34" t="n">
        <v>14</v>
      </c>
      <c r="B936" s="13" t="n">
        <v>46417</v>
      </c>
      <c r="C936" s="11">
        <f>F935</f>
        <v/>
      </c>
      <c r="D936" s="11">
        <f>MAX(0,C936*$C$918/12)</f>
        <v/>
      </c>
      <c r="E936" s="11">
        <f>MAX(0,MIN(C936,$C$917-D936))</f>
        <v/>
      </c>
      <c r="F936" s="11">
        <f>MAX(0,C936-E936)</f>
        <v/>
      </c>
    </row>
    <row r="937">
      <c r="A937" s="34" t="n">
        <v>15</v>
      </c>
      <c r="B937" s="13" t="n">
        <v>46446</v>
      </c>
      <c r="C937" s="11">
        <f>F936</f>
        <v/>
      </c>
      <c r="D937" s="11">
        <f>MAX(0,C937*$C$918/12)</f>
        <v/>
      </c>
      <c r="E937" s="11">
        <f>MAX(0,MIN(C937,$C$917-D937))</f>
        <v/>
      </c>
      <c r="F937" s="11">
        <f>MAX(0,C937-E937)</f>
        <v/>
      </c>
    </row>
    <row r="938">
      <c r="A938" s="34" t="n">
        <v>16</v>
      </c>
      <c r="B938" s="13" t="n">
        <v>46476</v>
      </c>
      <c r="C938" s="11">
        <f>F937</f>
        <v/>
      </c>
      <c r="D938" s="11">
        <f>MAX(0,C938*$C$918/12)</f>
        <v/>
      </c>
      <c r="E938" s="11">
        <f>MAX(0,MIN(C938,$C$917-D938))</f>
        <v/>
      </c>
      <c r="F938" s="11">
        <f>MAX(0,C938-E938)</f>
        <v/>
      </c>
    </row>
    <row r="939">
      <c r="A939" s="34" t="n">
        <v>17</v>
      </c>
      <c r="B939" s="13" t="n">
        <v>46507</v>
      </c>
      <c r="C939" s="11">
        <f>F938</f>
        <v/>
      </c>
      <c r="D939" s="11">
        <f>MAX(0,C939*$C$918/12)</f>
        <v/>
      </c>
      <c r="E939" s="11">
        <f>MAX(0,MIN(C939,$C$917-D939))</f>
        <v/>
      </c>
      <c r="F939" s="11">
        <f>MAX(0,C939-E939)</f>
        <v/>
      </c>
    </row>
    <row r="940">
      <c r="A940" s="34" t="n">
        <v>18</v>
      </c>
      <c r="B940" s="13" t="n">
        <v>46537</v>
      </c>
      <c r="C940" s="11">
        <f>F939</f>
        <v/>
      </c>
      <c r="D940" s="11">
        <f>MAX(0,C940*$C$918/12)</f>
        <v/>
      </c>
      <c r="E940" s="11">
        <f>MAX(0,MIN(C940,$C$917-D940))</f>
        <v/>
      </c>
      <c r="F940" s="11">
        <f>MAX(0,C940-E940)</f>
        <v/>
      </c>
    </row>
    <row r="941">
      <c r="A941" s="34" t="n">
        <v>19</v>
      </c>
      <c r="B941" s="13" t="n">
        <v>46568</v>
      </c>
      <c r="C941" s="11">
        <f>F940</f>
        <v/>
      </c>
      <c r="D941" s="11">
        <f>MAX(0,C941*$C$918/12)</f>
        <v/>
      </c>
      <c r="E941" s="11">
        <f>MAX(0,MIN(C941,$C$917-D941))</f>
        <v/>
      </c>
      <c r="F941" s="11">
        <f>MAX(0,C941-E941)</f>
        <v/>
      </c>
    </row>
    <row r="942">
      <c r="A942" s="34" t="n">
        <v>20</v>
      </c>
      <c r="B942" s="13" t="n">
        <v>46598</v>
      </c>
      <c r="C942" s="11">
        <f>F941</f>
        <v/>
      </c>
      <c r="D942" s="11">
        <f>MAX(0,C942*$C$918/12)</f>
        <v/>
      </c>
      <c r="E942" s="11">
        <f>MAX(0,MIN(C942,$C$917-D942))</f>
        <v/>
      </c>
      <c r="F942" s="11">
        <f>MAX(0,C942-E942)</f>
        <v/>
      </c>
    </row>
    <row r="943">
      <c r="A943" s="34" t="n">
        <v>21</v>
      </c>
      <c r="B943" s="13" t="n">
        <v>46629</v>
      </c>
      <c r="C943" s="11">
        <f>F942</f>
        <v/>
      </c>
      <c r="D943" s="11">
        <f>MAX(0,C943*$C$918/12)</f>
        <v/>
      </c>
      <c r="E943" s="11">
        <f>MAX(0,MIN(C943,$C$917-D943))</f>
        <v/>
      </c>
      <c r="F943" s="11">
        <f>MAX(0,C943-E943)</f>
        <v/>
      </c>
    </row>
    <row r="944">
      <c r="A944" s="34" t="n">
        <v>22</v>
      </c>
      <c r="B944" s="13" t="n">
        <v>46660</v>
      </c>
      <c r="C944" s="11">
        <f>F943</f>
        <v/>
      </c>
      <c r="D944" s="11">
        <f>MAX(0,C944*$C$918/12)</f>
        <v/>
      </c>
      <c r="E944" s="11">
        <f>MAX(0,MIN(C944,$C$917-D944))</f>
        <v/>
      </c>
      <c r="F944" s="11">
        <f>MAX(0,C944-E944)</f>
        <v/>
      </c>
    </row>
    <row r="945">
      <c r="A945" s="34" t="n">
        <v>23</v>
      </c>
      <c r="B945" s="13" t="n">
        <v>46690</v>
      </c>
      <c r="C945" s="11">
        <f>F944</f>
        <v/>
      </c>
      <c r="D945" s="11">
        <f>MAX(0,C945*$C$918/12)</f>
        <v/>
      </c>
      <c r="E945" s="11">
        <f>MAX(0,MIN(C945,$C$917-D945))</f>
        <v/>
      </c>
      <c r="F945" s="11">
        <f>MAX(0,C945-E945)</f>
        <v/>
      </c>
    </row>
    <row r="946">
      <c r="A946" s="34" t="n">
        <v>24</v>
      </c>
      <c r="B946" s="13" t="n">
        <v>46721</v>
      </c>
      <c r="C946" s="11">
        <f>F945</f>
        <v/>
      </c>
      <c r="D946" s="11">
        <f>MAX(0,C946*$C$918/12)</f>
        <v/>
      </c>
      <c r="E946" s="11">
        <f>MAX(0,MIN(C946,$C$917-D946))</f>
        <v/>
      </c>
      <c r="F946" s="11">
        <f>MAX(0,C946-E946)</f>
        <v/>
      </c>
    </row>
    <row r="947">
      <c r="A947" s="34" t="n">
        <v>25</v>
      </c>
      <c r="B947" s="13" t="n">
        <v>46751</v>
      </c>
      <c r="C947" s="11">
        <f>F946</f>
        <v/>
      </c>
      <c r="D947" s="11">
        <f>MAX(0,C947*$C$918/12)</f>
        <v/>
      </c>
      <c r="E947" s="11">
        <f>MAX(0,MIN(C947,$C$917-D947))</f>
        <v/>
      </c>
      <c r="F947" s="11">
        <f>MAX(0,C947-E947)</f>
        <v/>
      </c>
    </row>
    <row r="948">
      <c r="A948" s="34" t="n">
        <v>26</v>
      </c>
      <c r="B948" s="13" t="n">
        <v>46782</v>
      </c>
      <c r="C948" s="11">
        <f>F947</f>
        <v/>
      </c>
      <c r="D948" s="11">
        <f>MAX(0,C948*$C$918/12)</f>
        <v/>
      </c>
      <c r="E948" s="11">
        <f>MAX(0,MIN(C948,$C$917-D948))</f>
        <v/>
      </c>
      <c r="F948" s="11">
        <f>MAX(0,C948-E948)</f>
        <v/>
      </c>
    </row>
    <row r="949">
      <c r="A949" s="34" t="n">
        <v>27</v>
      </c>
      <c r="B949" s="13" t="n">
        <v>46812</v>
      </c>
      <c r="C949" s="11">
        <f>F948</f>
        <v/>
      </c>
      <c r="D949" s="11">
        <f>MAX(0,C949*$C$918/12)</f>
        <v/>
      </c>
      <c r="E949" s="11">
        <f>MAX(0,MIN(C949,$C$917-D949))</f>
        <v/>
      </c>
      <c r="F949" s="11">
        <f>MAX(0,C949-E949)</f>
        <v/>
      </c>
    </row>
    <row r="950">
      <c r="A950" s="34" t="n">
        <v>28</v>
      </c>
      <c r="B950" s="13" t="n">
        <v>46842</v>
      </c>
      <c r="C950" s="11">
        <f>F949</f>
        <v/>
      </c>
      <c r="D950" s="11">
        <f>MAX(0,C950*$C$918/12)</f>
        <v/>
      </c>
      <c r="E950" s="11">
        <f>MAX(0,MIN(C950,$C$917-D950))</f>
        <v/>
      </c>
      <c r="F950" s="11">
        <f>MAX(0,C950-E950)</f>
        <v/>
      </c>
    </row>
    <row r="951">
      <c r="A951" s="34" t="n">
        <v>29</v>
      </c>
      <c r="B951" s="13" t="n">
        <v>46873</v>
      </c>
      <c r="C951" s="11">
        <f>F950</f>
        <v/>
      </c>
      <c r="D951" s="11">
        <f>MAX(0,C951*$C$918/12)</f>
        <v/>
      </c>
      <c r="E951" s="11">
        <f>MAX(0,MIN(C951,$C$917-D951))</f>
        <v/>
      </c>
      <c r="F951" s="11">
        <f>MAX(0,C951-E951)</f>
        <v/>
      </c>
    </row>
    <row r="952">
      <c r="A952" s="34" t="n">
        <v>30</v>
      </c>
      <c r="B952" s="13" t="n">
        <v>46903</v>
      </c>
      <c r="C952" s="11">
        <f>F951</f>
        <v/>
      </c>
      <c r="D952" s="11">
        <f>MAX(0,C952*$C$918/12)</f>
        <v/>
      </c>
      <c r="E952" s="11">
        <f>MAX(0,MIN(C952,$C$917-D952))</f>
        <v/>
      </c>
      <c r="F952" s="11">
        <f>MAX(0,C952-E952)</f>
        <v/>
      </c>
    </row>
    <row r="953">
      <c r="A953" s="34" t="n">
        <v>31</v>
      </c>
      <c r="B953" s="13" t="n">
        <v>46934</v>
      </c>
      <c r="C953" s="11">
        <f>F952</f>
        <v/>
      </c>
      <c r="D953" s="11">
        <f>MAX(0,C953*$C$918/12)</f>
        <v/>
      </c>
      <c r="E953" s="11">
        <f>MAX(0,MIN(C953,$C$917-D953))</f>
        <v/>
      </c>
      <c r="F953" s="11">
        <f>MAX(0,C953-E953)</f>
        <v/>
      </c>
    </row>
    <row r="954">
      <c r="A954" s="34" t="n">
        <v>32</v>
      </c>
      <c r="B954" s="13" t="n">
        <v>46964</v>
      </c>
      <c r="C954" s="11">
        <f>F953</f>
        <v/>
      </c>
      <c r="D954" s="11">
        <f>MAX(0,C954*$C$918/12)</f>
        <v/>
      </c>
      <c r="E954" s="11">
        <f>MAX(0,MIN(C954,$C$917-D954))</f>
        <v/>
      </c>
      <c r="F954" s="11">
        <f>MAX(0,C954-E954)</f>
        <v/>
      </c>
    </row>
    <row r="955">
      <c r="A955" s="34" t="n">
        <v>33</v>
      </c>
      <c r="B955" s="13" t="n">
        <v>46995</v>
      </c>
      <c r="C955" s="11">
        <f>F954</f>
        <v/>
      </c>
      <c r="D955" s="11">
        <f>MAX(0,C955*$C$918/12)</f>
        <v/>
      </c>
      <c r="E955" s="11">
        <f>MAX(0,MIN(C955,$C$917-D955))</f>
        <v/>
      </c>
      <c r="F955" s="11">
        <f>MAX(0,C955-E955)</f>
        <v/>
      </c>
    </row>
    <row r="956">
      <c r="A956" s="34" t="n">
        <v>34</v>
      </c>
      <c r="B956" s="13" t="n">
        <v>47026</v>
      </c>
      <c r="C956" s="11">
        <f>F955</f>
        <v/>
      </c>
      <c r="D956" s="11">
        <f>MAX(0,C956*$C$918/12)</f>
        <v/>
      </c>
      <c r="E956" s="11">
        <f>MAX(0,MIN(C956,$C$917-D956))</f>
        <v/>
      </c>
      <c r="F956" s="11">
        <f>MAX(0,C956-E956)</f>
        <v/>
      </c>
    </row>
    <row r="957">
      <c r="A957" s="34" t="n">
        <v>35</v>
      </c>
      <c r="B957" s="13" t="n">
        <v>47056</v>
      </c>
      <c r="C957" s="11">
        <f>F956</f>
        <v/>
      </c>
      <c r="D957" s="11">
        <f>MAX(0,C957*$C$918/12)</f>
        <v/>
      </c>
      <c r="E957" s="11">
        <f>MAX(0,MIN(C957,$C$917-D957))</f>
        <v/>
      </c>
      <c r="F957" s="11">
        <f>MAX(0,C957-E957)</f>
        <v/>
      </c>
    </row>
    <row r="958">
      <c r="A958" s="34" t="n">
        <v>36</v>
      </c>
      <c r="B958" s="13" t="n">
        <v>47087</v>
      </c>
      <c r="C958" s="11">
        <f>F957</f>
        <v/>
      </c>
      <c r="D958" s="11">
        <f>MAX(0,C958*$C$918/12)</f>
        <v/>
      </c>
      <c r="E958" s="11">
        <f>MAX(0,MIN(C958,$C$917-D958))</f>
        <v/>
      </c>
      <c r="F958" s="11">
        <f>MAX(0,C958-E958)</f>
        <v/>
      </c>
    </row>
    <row r="959">
      <c r="A959" s="34" t="n">
        <v>37</v>
      </c>
      <c r="B959" s="13" t="n">
        <v>47117</v>
      </c>
      <c r="C959" s="11">
        <f>F958</f>
        <v/>
      </c>
      <c r="D959" s="11">
        <f>MAX(0,C959*$C$918/12)</f>
        <v/>
      </c>
      <c r="E959" s="11">
        <f>MAX(0,MIN(C959,$C$917-D959))</f>
        <v/>
      </c>
      <c r="F959" s="11">
        <f>MAX(0,C959-E959)</f>
        <v/>
      </c>
    </row>
    <row r="960">
      <c r="A960" s="34" t="n">
        <v>38</v>
      </c>
      <c r="B960" s="13" t="n">
        <v>47148</v>
      </c>
      <c r="C960" s="11">
        <f>F959</f>
        <v/>
      </c>
      <c r="D960" s="11">
        <f>MAX(0,C960*$C$918/12)</f>
        <v/>
      </c>
      <c r="E960" s="11">
        <f>MAX(0,MIN(C960,$C$917-D960))</f>
        <v/>
      </c>
      <c r="F960" s="11">
        <f>MAX(0,C960-E960)</f>
        <v/>
      </c>
    </row>
    <row r="961">
      <c r="A961" s="34" t="n">
        <v>39</v>
      </c>
      <c r="B961" s="13" t="n">
        <v>47177</v>
      </c>
      <c r="C961" s="11">
        <f>F960</f>
        <v/>
      </c>
      <c r="D961" s="11">
        <f>MAX(0,C961*$C$918/12)</f>
        <v/>
      </c>
      <c r="E961" s="11">
        <f>MAX(0,MIN(C961,$C$917-D961))</f>
        <v/>
      </c>
      <c r="F961" s="11">
        <f>MAX(0,C961-E961)</f>
        <v/>
      </c>
    </row>
    <row r="962">
      <c r="A962" s="34" t="n">
        <v>40</v>
      </c>
      <c r="B962" s="13" t="n">
        <v>47207</v>
      </c>
      <c r="C962" s="11">
        <f>F961</f>
        <v/>
      </c>
      <c r="D962" s="11">
        <f>MAX(0,C962*$C$918/12)</f>
        <v/>
      </c>
      <c r="E962" s="11">
        <f>MAX(0,MIN(C962,$C$917-D962))</f>
        <v/>
      </c>
      <c r="F962" s="11">
        <f>MAX(0,C962-E962)</f>
        <v/>
      </c>
    </row>
    <row r="963">
      <c r="A963" s="34" t="n">
        <v>41</v>
      </c>
      <c r="B963" s="13" t="n">
        <v>47238</v>
      </c>
      <c r="C963" s="11">
        <f>F962</f>
        <v/>
      </c>
      <c r="D963" s="11">
        <f>MAX(0,C963*$C$918/12)</f>
        <v/>
      </c>
      <c r="E963" s="11">
        <f>MAX(0,MIN(C963,$C$917-D963))</f>
        <v/>
      </c>
      <c r="F963" s="11">
        <f>MAX(0,C963-E963)</f>
        <v/>
      </c>
    </row>
    <row r="964">
      <c r="A964" s="34" t="n">
        <v>42</v>
      </c>
      <c r="B964" s="13" t="n">
        <v>47268</v>
      </c>
      <c r="C964" s="11">
        <f>F963</f>
        <v/>
      </c>
      <c r="D964" s="11">
        <f>MAX(0,C964*$C$918/12)</f>
        <v/>
      </c>
      <c r="E964" s="11">
        <f>MAX(0,MIN(C964,$C$917-D964))</f>
        <v/>
      </c>
      <c r="F964" s="11">
        <f>MAX(0,C964-E964)</f>
        <v/>
      </c>
    </row>
    <row r="965">
      <c r="A965" s="34" t="n">
        <v>43</v>
      </c>
      <c r="B965" s="13" t="n">
        <v>47299</v>
      </c>
      <c r="C965" s="11">
        <f>F964</f>
        <v/>
      </c>
      <c r="D965" s="11">
        <f>MAX(0,C965*$C$918/12)</f>
        <v/>
      </c>
      <c r="E965" s="11">
        <f>MAX(0,MIN(C965,$C$917-D965))</f>
        <v/>
      </c>
      <c r="F965" s="11">
        <f>MAX(0,C965-E965)</f>
        <v/>
      </c>
    </row>
    <row r="966">
      <c r="A966" s="34" t="n">
        <v>44</v>
      </c>
      <c r="B966" s="13" t="n">
        <v>47329</v>
      </c>
      <c r="C966" s="11">
        <f>F965</f>
        <v/>
      </c>
      <c r="D966" s="11">
        <f>MAX(0,C966*$C$918/12)</f>
        <v/>
      </c>
      <c r="E966" s="11">
        <f>MAX(0,MIN(C966,$C$917-D966))</f>
        <v/>
      </c>
      <c r="F966" s="11">
        <f>MAX(0,C966-E966)</f>
        <v/>
      </c>
    </row>
    <row r="967">
      <c r="A967" s="34" t="n">
        <v>45</v>
      </c>
      <c r="B967" s="13" t="n">
        <v>47360</v>
      </c>
      <c r="C967" s="11">
        <f>F966</f>
        <v/>
      </c>
      <c r="D967" s="11">
        <f>MAX(0,C967*$C$918/12)</f>
        <v/>
      </c>
      <c r="E967" s="11">
        <f>MAX(0,MIN(C967,$C$917-D967))</f>
        <v/>
      </c>
      <c r="F967" s="11">
        <f>MAX(0,C967-E967)</f>
        <v/>
      </c>
    </row>
    <row r="968">
      <c r="A968" s="34" t="n">
        <v>46</v>
      </c>
      <c r="B968" s="13" t="n">
        <v>47391</v>
      </c>
      <c r="C968" s="11">
        <f>F967</f>
        <v/>
      </c>
      <c r="D968" s="11">
        <f>MAX(0,C968*$C$918/12)</f>
        <v/>
      </c>
      <c r="E968" s="11">
        <f>MAX(0,MIN(C968,$C$917-D968))</f>
        <v/>
      </c>
      <c r="F968" s="11">
        <f>MAX(0,C968-E968)</f>
        <v/>
      </c>
    </row>
    <row r="969">
      <c r="A969" s="34" t="n">
        <v>47</v>
      </c>
      <c r="B969" s="13" t="n">
        <v>47421</v>
      </c>
      <c r="C969" s="11">
        <f>F968</f>
        <v/>
      </c>
      <c r="D969" s="11">
        <f>MAX(0,C969*$C$918/12)</f>
        <v/>
      </c>
      <c r="E969" s="11">
        <f>MAX(0,MIN(C969,$C$917-D969))</f>
        <v/>
      </c>
      <c r="F969" s="11">
        <f>MAX(0,C969-E969)</f>
        <v/>
      </c>
    </row>
    <row r="970">
      <c r="A970" s="34" t="n">
        <v>48</v>
      </c>
      <c r="B970" s="13" t="n">
        <v>47452</v>
      </c>
      <c r="C970" s="11">
        <f>F969</f>
        <v/>
      </c>
      <c r="D970" s="11">
        <f>MAX(0,C970*$C$918/12)</f>
        <v/>
      </c>
      <c r="E970" s="11">
        <f>MAX(0,MIN(C970,$C$917-D970))</f>
        <v/>
      </c>
      <c r="F970" s="11">
        <f>MAX(0,C970-E970)</f>
        <v/>
      </c>
    </row>
    <row r="971">
      <c r="A971" s="34" t="n">
        <v>49</v>
      </c>
      <c r="B971" s="13" t="n">
        <v>47482</v>
      </c>
      <c r="C971" s="11">
        <f>F970</f>
        <v/>
      </c>
      <c r="D971" s="11">
        <f>MAX(0,C971*$C$918/12)</f>
        <v/>
      </c>
      <c r="E971" s="11">
        <f>MAX(0,MIN(C971,$C$917-D971))</f>
        <v/>
      </c>
      <c r="F971" s="11">
        <f>MAX(0,C971-E971)</f>
        <v/>
      </c>
    </row>
    <row r="972">
      <c r="A972" s="34" t="n"/>
      <c r="B972" s="41" t="inlineStr">
        <is>
          <t>TOTAL</t>
        </is>
      </c>
      <c r="C972" s="34" t="n"/>
      <c r="D972" s="42">
        <f>SUM(D923:D971)</f>
        <v/>
      </c>
      <c r="E972" s="42">
        <f>SUM(E923:E971)</f>
        <v/>
      </c>
      <c r="F972" s="34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12.xml><?xml version="1.0" encoding="utf-8"?>
<worksheet xmlns="http://schemas.openxmlformats.org/spreadsheetml/2006/main">
  <sheetPr>
    <tabColor rgb="00808080"/>
    <outlinePr summaryBelow="1" summaryRight="1"/>
    <pageSetUpPr/>
  </sheetPr>
  <dimension ref="A1:G334"/>
  <sheetViews>
    <sheetView workbookViewId="0">
      <selection activeCell="A1" sqref="A1"/>
    </sheetView>
  </sheetViews>
  <sheetFormatPr baseColWidth="8" defaultRowHeight="15"/>
  <cols>
    <col width="18" customWidth="1" min="1" max="1"/>
    <col width="32" customWidth="1" min="2" max="2"/>
    <col width="18" customWidth="1" min="3" max="3"/>
    <col width="14" customWidth="1" min="4" max="4"/>
    <col width="14" customWidth="1" min="5" max="5"/>
    <col width="16" customWidth="1" min="6" max="6"/>
    <col width="12" customWidth="1" min="7" max="7"/>
  </cols>
  <sheetData>
    <row r="1">
      <c r="A1" s="46" t="inlineStr">
        <is>
          <t>TRISTATE CAPITAL BANK - LOAN SUMMARY</t>
        </is>
      </c>
    </row>
    <row r="3">
      <c r="A3" s="84" t="inlineStr">
        <is>
          <t>#</t>
        </is>
      </c>
      <c r="B3" s="84" t="inlineStr">
        <is>
          <t>Loan Description</t>
        </is>
      </c>
      <c r="C3" s="84" t="inlineStr">
        <is>
          <t>Loan ID</t>
        </is>
      </c>
      <c r="D3" s="84" t="inlineStr">
        <is>
          <t>Opening Balance</t>
        </is>
      </c>
      <c r="E3" s="84" t="inlineStr">
        <is>
          <t>Remaining Balance</t>
        </is>
      </c>
      <c r="F3" s="84" t="inlineStr">
        <is>
          <t>Monthly Pmt</t>
        </is>
      </c>
      <c r="G3" s="84" t="inlineStr">
        <is>
          <t>Rate</t>
        </is>
      </c>
    </row>
    <row r="4">
      <c r="A4" s="34" t="n">
        <v>1</v>
      </c>
      <c r="B4" s="34" t="inlineStr">
        <is>
          <t>2 T680 Sleepers (Aug 2022)</t>
        </is>
      </c>
      <c r="C4" s="34" t="inlineStr">
        <is>
          <t>05-2985-000-000-00</t>
        </is>
      </c>
      <c r="D4" s="11" t="n">
        <v>317570</v>
      </c>
      <c r="E4" s="11" t="n">
        <v>139613</v>
      </c>
      <c r="F4" s="11" t="n">
        <v>5435.69</v>
      </c>
      <c r="G4" s="82" t="n">
        <v>0.0448</v>
      </c>
    </row>
    <row r="5">
      <c r="A5" s="34" t="n">
        <v>2</v>
      </c>
      <c r="B5" s="34" t="inlineStr">
        <is>
          <t>25 Trailers (Oct 2022)</t>
        </is>
      </c>
      <c r="C5" s="34" t="inlineStr">
        <is>
          <t>05-2985-001-000-00</t>
        </is>
      </c>
      <c r="D5" s="11" t="n">
        <v>1716800</v>
      </c>
      <c r="E5" s="11" t="n">
        <v>1034652</v>
      </c>
      <c r="F5" s="11" t="n">
        <v>24218.15</v>
      </c>
      <c r="G5" s="82" t="n">
        <v>0.0495</v>
      </c>
    </row>
    <row r="6">
      <c r="A6" s="34" t="n">
        <v>3</v>
      </c>
      <c r="B6" s="34" t="inlineStr">
        <is>
          <t>3 Peterbilt 579 (Feb 2023)</t>
        </is>
      </c>
      <c r="C6" s="34" t="inlineStr">
        <is>
          <t>05-2985-002-000-00</t>
        </is>
      </c>
      <c r="D6" s="11" t="n">
        <v>609514.2</v>
      </c>
      <c r="E6" s="11" t="n">
        <v>327063</v>
      </c>
      <c r="F6" s="11" t="n">
        <v>10672.83</v>
      </c>
      <c r="G6" s="82" t="n">
        <v>0.0535</v>
      </c>
    </row>
    <row r="7">
      <c r="A7" s="34" t="n">
        <v>4</v>
      </c>
      <c r="B7" s="34" t="inlineStr">
        <is>
          <t>2 Peterbilt 579 (Feb 2023)</t>
        </is>
      </c>
      <c r="C7" s="34" t="inlineStr">
        <is>
          <t>05-2985-003-000-00</t>
        </is>
      </c>
      <c r="D7" s="11" t="n">
        <v>406642.8</v>
      </c>
      <c r="E7" s="11" t="n">
        <v>226157</v>
      </c>
      <c r="F7" s="11" t="n">
        <v>7228.56</v>
      </c>
      <c r="G7" s="82" t="n">
        <v>0.0585</v>
      </c>
    </row>
    <row r="8">
      <c r="A8" s="34" t="n">
        <v>5</v>
      </c>
      <c r="B8" s="34" t="inlineStr">
        <is>
          <t>25 Trailers (April 2023)</t>
        </is>
      </c>
      <c r="C8" s="34" t="inlineStr">
        <is>
          <t>05-2985-004-000-00</t>
        </is>
      </c>
      <c r="D8" s="11" t="n">
        <v>1557225</v>
      </c>
      <c r="E8" s="11" t="n">
        <v>1056887</v>
      </c>
      <c r="F8" s="11" t="n">
        <v>22505.99</v>
      </c>
      <c r="G8" s="82" t="n">
        <v>0.0565</v>
      </c>
    </row>
    <row r="9">
      <c r="A9" s="34" t="inlineStr"/>
      <c r="B9" s="41" t="inlineStr">
        <is>
          <t>TOTAL</t>
        </is>
      </c>
      <c r="C9" s="34" t="inlineStr"/>
      <c r="D9" s="42">
        <f>SUM(D4:D8)</f>
        <v/>
      </c>
      <c r="E9" s="42">
        <f>SUM(E4:E8)</f>
        <v/>
      </c>
      <c r="F9" s="42">
        <f>SUM(F4:F8)</f>
        <v/>
      </c>
      <c r="G9" s="34" t="inlineStr"/>
    </row>
    <row r="11">
      <c r="A11" s="85" t="inlineStr">
        <is>
          <t>Source: Meiborg_Debt_Schedule_202511.xlsx, As of Nov 30, 2025</t>
        </is>
      </c>
    </row>
    <row r="14">
      <c r="A14" s="15" t="inlineStr">
        <is>
          <t>LOAN 1: 2 T680 Sleepers (Aug 2022)</t>
        </is>
      </c>
    </row>
    <row r="16">
      <c r="A16" t="inlineStr">
        <is>
          <t>Loan ID:</t>
        </is>
      </c>
      <c r="B16" t="inlineStr">
        <is>
          <t>05-2985-000-000-00</t>
        </is>
      </c>
    </row>
    <row r="17">
      <c r="A17" t="inlineStr">
        <is>
          <t>Description:</t>
        </is>
      </c>
      <c r="B17" t="inlineStr">
        <is>
          <t>2 T680 Sleepers (Aug 2022)</t>
        </is>
      </c>
    </row>
    <row r="18">
      <c r="A18" t="inlineStr">
        <is>
          <t>Origination Date:</t>
        </is>
      </c>
      <c r="B18" t="inlineStr">
        <is>
          <t>2022-08-16</t>
        </is>
      </c>
    </row>
    <row r="19">
      <c r="A19" t="inlineStr">
        <is>
          <t>Maturity Date:</t>
        </is>
      </c>
      <c r="B19" t="inlineStr">
        <is>
          <t>2028-02-15</t>
        </is>
      </c>
    </row>
    <row r="20">
      <c r="A20" t="inlineStr">
        <is>
          <t>Opening Balance:</t>
        </is>
      </c>
      <c r="B20" s="3" t="n">
        <v>317570</v>
      </c>
    </row>
    <row r="21">
      <c r="A21" t="inlineStr">
        <is>
          <t>Remaining Balance (Nov 2025):</t>
        </is>
      </c>
      <c r="B21" s="3" t="n">
        <v>139613</v>
      </c>
    </row>
    <row r="22">
      <c r="A22" t="inlineStr">
        <is>
          <t>Annual Interest Rate:</t>
        </is>
      </c>
      <c r="B22" s="4" t="n">
        <v>0.0448</v>
      </c>
    </row>
    <row r="23">
      <c r="A23" t="inlineStr">
        <is>
          <t>Monthly Payment:</t>
        </is>
      </c>
      <c r="B23" s="3" t="n">
        <v>5435.69</v>
      </c>
    </row>
    <row r="24">
      <c r="A24" t="inlineStr">
        <is>
          <t>Loan Type:</t>
        </is>
      </c>
      <c r="B24" t="inlineStr">
        <is>
          <t>AMORTIZING</t>
        </is>
      </c>
    </row>
    <row r="25">
      <c r="A25" t="inlineStr">
        <is>
          <t>Use:</t>
        </is>
      </c>
      <c r="B25" t="inlineStr">
        <is>
          <t>Equipment (Semi trucks)</t>
        </is>
      </c>
    </row>
    <row r="27">
      <c r="A27" s="17" t="inlineStr">
        <is>
          <t>AI ANALYSIS</t>
        </is>
      </c>
    </row>
    <row r="28">
      <c r="A28" s="6" t="inlineStr">
        <is>
          <t>Loan Type Classification: AMORTIZING - Standard principal and interest payments</t>
        </is>
      </c>
    </row>
    <row r="29">
      <c r="A29" s="6" t="inlineStr">
        <is>
          <t>Months Remaining: 27 (from Nov 2025 to maturity)</t>
        </is>
      </c>
    </row>
    <row r="30">
      <c r="A30" s="6" t="inlineStr">
        <is>
          <t>Equipment Financed: Equipment (Semi trucks)</t>
        </is>
      </c>
    </row>
    <row r="31">
      <c r="A31" s="6" t="inlineStr">
        <is>
          <t>Amortization: Full amortization schedule below starting from Dec 2025</t>
        </is>
      </c>
    </row>
    <row r="34">
      <c r="A34" s="84" t="inlineStr">
        <is>
          <t>Month #</t>
        </is>
      </c>
      <c r="B34" s="84" t="inlineStr">
        <is>
          <t>Date</t>
        </is>
      </c>
      <c r="C34" s="84" t="inlineStr">
        <is>
          <t>Opening Balance</t>
        </is>
      </c>
      <c r="D34" s="84" t="inlineStr">
        <is>
          <t>Interest</t>
        </is>
      </c>
      <c r="E34" s="84" t="inlineStr">
        <is>
          <t>Principal</t>
        </is>
      </c>
      <c r="F34" s="84" t="inlineStr">
        <is>
          <t>Closing Balance</t>
        </is>
      </c>
    </row>
    <row r="35">
      <c r="A35" s="34" t="n">
        <v>1</v>
      </c>
      <c r="B35" s="34" t="inlineStr">
        <is>
          <t>2025-12-01</t>
        </is>
      </c>
      <c r="C35" s="86">
        <f>B21</f>
        <v/>
      </c>
      <c r="D35" s="11">
        <f>MAX(0,C35*B22/12)</f>
        <v/>
      </c>
      <c r="E35" s="11">
        <f>MAX(0,MIN(C35,B23-D35))</f>
        <v/>
      </c>
      <c r="F35" s="11">
        <f>MAX(0,C35-E35)</f>
        <v/>
      </c>
    </row>
    <row r="36">
      <c r="A36" s="34" t="n">
        <v>2</v>
      </c>
      <c r="B36" s="34" t="inlineStr">
        <is>
          <t>2026-01-01</t>
        </is>
      </c>
      <c r="C36" s="86">
        <f>F35</f>
        <v/>
      </c>
      <c r="D36" s="11">
        <f>MAX(0,C36*B22/12)</f>
        <v/>
      </c>
      <c r="E36" s="11">
        <f>MAX(0,MIN(C36,B23-D36))</f>
        <v/>
      </c>
      <c r="F36" s="11">
        <f>MAX(0,C36-E36)</f>
        <v/>
      </c>
    </row>
    <row r="37">
      <c r="A37" s="34" t="n">
        <v>3</v>
      </c>
      <c r="B37" s="34" t="inlineStr">
        <is>
          <t>2026-02-01</t>
        </is>
      </c>
      <c r="C37" s="86">
        <f>F36</f>
        <v/>
      </c>
      <c r="D37" s="11">
        <f>MAX(0,C37*B22/12)</f>
        <v/>
      </c>
      <c r="E37" s="11">
        <f>MAX(0,MIN(C37,B23-D37))</f>
        <v/>
      </c>
      <c r="F37" s="11">
        <f>MAX(0,C37-E37)</f>
        <v/>
      </c>
    </row>
    <row r="38">
      <c r="A38" s="34" t="n">
        <v>4</v>
      </c>
      <c r="B38" s="34" t="inlineStr">
        <is>
          <t>2026-03-01</t>
        </is>
      </c>
      <c r="C38" s="86">
        <f>F37</f>
        <v/>
      </c>
      <c r="D38" s="11">
        <f>MAX(0,C38*B22/12)</f>
        <v/>
      </c>
      <c r="E38" s="11">
        <f>MAX(0,MIN(C38,B23-D38))</f>
        <v/>
      </c>
      <c r="F38" s="11">
        <f>MAX(0,C38-E38)</f>
        <v/>
      </c>
    </row>
    <row r="39">
      <c r="A39" s="34" t="n">
        <v>5</v>
      </c>
      <c r="B39" s="34" t="inlineStr">
        <is>
          <t>2026-04-01</t>
        </is>
      </c>
      <c r="C39" s="86">
        <f>F38</f>
        <v/>
      </c>
      <c r="D39" s="11">
        <f>MAX(0,C39*B22/12)</f>
        <v/>
      </c>
      <c r="E39" s="11">
        <f>MAX(0,MIN(C39,B23-D39))</f>
        <v/>
      </c>
      <c r="F39" s="11">
        <f>MAX(0,C39-E39)</f>
        <v/>
      </c>
    </row>
    <row r="40">
      <c r="A40" s="34" t="n">
        <v>6</v>
      </c>
      <c r="B40" s="34" t="inlineStr">
        <is>
          <t>2026-05-01</t>
        </is>
      </c>
      <c r="C40" s="86">
        <f>F39</f>
        <v/>
      </c>
      <c r="D40" s="11">
        <f>MAX(0,C40*B22/12)</f>
        <v/>
      </c>
      <c r="E40" s="11">
        <f>MAX(0,MIN(C40,B23-D40))</f>
        <v/>
      </c>
      <c r="F40" s="11">
        <f>MAX(0,C40-E40)</f>
        <v/>
      </c>
    </row>
    <row r="41">
      <c r="A41" s="34" t="n">
        <v>7</v>
      </c>
      <c r="B41" s="34" t="inlineStr">
        <is>
          <t>2026-06-01</t>
        </is>
      </c>
      <c r="C41" s="86">
        <f>F40</f>
        <v/>
      </c>
      <c r="D41" s="11">
        <f>MAX(0,C41*B22/12)</f>
        <v/>
      </c>
      <c r="E41" s="11">
        <f>MAX(0,MIN(C41,B23-D41))</f>
        <v/>
      </c>
      <c r="F41" s="11">
        <f>MAX(0,C41-E41)</f>
        <v/>
      </c>
    </row>
    <row r="42">
      <c r="A42" s="34" t="n">
        <v>8</v>
      </c>
      <c r="B42" s="34" t="inlineStr">
        <is>
          <t>2026-07-01</t>
        </is>
      </c>
      <c r="C42" s="86">
        <f>F41</f>
        <v/>
      </c>
      <c r="D42" s="11">
        <f>MAX(0,C42*B22/12)</f>
        <v/>
      </c>
      <c r="E42" s="11">
        <f>MAX(0,MIN(C42,B23-D42))</f>
        <v/>
      </c>
      <c r="F42" s="11">
        <f>MAX(0,C42-E42)</f>
        <v/>
      </c>
    </row>
    <row r="43">
      <c r="A43" s="34" t="n">
        <v>9</v>
      </c>
      <c r="B43" s="34" t="inlineStr">
        <is>
          <t>2026-08-01</t>
        </is>
      </c>
      <c r="C43" s="86">
        <f>F42</f>
        <v/>
      </c>
      <c r="D43" s="11">
        <f>MAX(0,C43*B22/12)</f>
        <v/>
      </c>
      <c r="E43" s="11">
        <f>MAX(0,MIN(C43,B23-D43))</f>
        <v/>
      </c>
      <c r="F43" s="11">
        <f>MAX(0,C43-E43)</f>
        <v/>
      </c>
    </row>
    <row r="44">
      <c r="A44" s="34" t="n">
        <v>10</v>
      </c>
      <c r="B44" s="34" t="inlineStr">
        <is>
          <t>2026-09-01</t>
        </is>
      </c>
      <c r="C44" s="86">
        <f>F43</f>
        <v/>
      </c>
      <c r="D44" s="11">
        <f>MAX(0,C44*B22/12)</f>
        <v/>
      </c>
      <c r="E44" s="11">
        <f>MAX(0,MIN(C44,B23-D44))</f>
        <v/>
      </c>
      <c r="F44" s="11">
        <f>MAX(0,C44-E44)</f>
        <v/>
      </c>
    </row>
    <row r="45">
      <c r="A45" s="34" t="n">
        <v>11</v>
      </c>
      <c r="B45" s="34" t="inlineStr">
        <is>
          <t>2026-10-01</t>
        </is>
      </c>
      <c r="C45" s="86">
        <f>F44</f>
        <v/>
      </c>
      <c r="D45" s="11">
        <f>MAX(0,C45*B22/12)</f>
        <v/>
      </c>
      <c r="E45" s="11">
        <f>MAX(0,MIN(C45,B23-D45))</f>
        <v/>
      </c>
      <c r="F45" s="11">
        <f>MAX(0,C45-E45)</f>
        <v/>
      </c>
    </row>
    <row r="46">
      <c r="A46" s="34" t="n">
        <v>12</v>
      </c>
      <c r="B46" s="34" t="inlineStr">
        <is>
          <t>2026-11-01</t>
        </is>
      </c>
      <c r="C46" s="86">
        <f>F45</f>
        <v/>
      </c>
      <c r="D46" s="11">
        <f>MAX(0,C46*B22/12)</f>
        <v/>
      </c>
      <c r="E46" s="11">
        <f>MAX(0,MIN(C46,B23-D46))</f>
        <v/>
      </c>
      <c r="F46" s="11">
        <f>MAX(0,C46-E46)</f>
        <v/>
      </c>
    </row>
    <row r="47">
      <c r="A47" s="34" t="n">
        <v>13</v>
      </c>
      <c r="B47" s="34" t="inlineStr">
        <is>
          <t>2026-12-01</t>
        </is>
      </c>
      <c r="C47" s="86">
        <f>F46</f>
        <v/>
      </c>
      <c r="D47" s="11">
        <f>MAX(0,C47*B22/12)</f>
        <v/>
      </c>
      <c r="E47" s="11">
        <f>MAX(0,MIN(C47,B23-D47))</f>
        <v/>
      </c>
      <c r="F47" s="11">
        <f>MAX(0,C47-E47)</f>
        <v/>
      </c>
    </row>
    <row r="48">
      <c r="A48" s="34" t="n">
        <v>14</v>
      </c>
      <c r="B48" s="34" t="inlineStr">
        <is>
          <t>2027-01-01</t>
        </is>
      </c>
      <c r="C48" s="86">
        <f>F47</f>
        <v/>
      </c>
      <c r="D48" s="11">
        <f>MAX(0,C48*B22/12)</f>
        <v/>
      </c>
      <c r="E48" s="11">
        <f>MAX(0,MIN(C48,B23-D48))</f>
        <v/>
      </c>
      <c r="F48" s="11">
        <f>MAX(0,C48-E48)</f>
        <v/>
      </c>
    </row>
    <row r="49">
      <c r="A49" s="34" t="n">
        <v>15</v>
      </c>
      <c r="B49" s="34" t="inlineStr">
        <is>
          <t>2027-02-01</t>
        </is>
      </c>
      <c r="C49" s="86">
        <f>F48</f>
        <v/>
      </c>
      <c r="D49" s="11">
        <f>MAX(0,C49*B22/12)</f>
        <v/>
      </c>
      <c r="E49" s="11">
        <f>MAX(0,MIN(C49,B23-D49))</f>
        <v/>
      </c>
      <c r="F49" s="11">
        <f>MAX(0,C49-E49)</f>
        <v/>
      </c>
    </row>
    <row r="50">
      <c r="A50" s="34" t="n">
        <v>16</v>
      </c>
      <c r="B50" s="34" t="inlineStr">
        <is>
          <t>2027-03-01</t>
        </is>
      </c>
      <c r="C50" s="86">
        <f>F49</f>
        <v/>
      </c>
      <c r="D50" s="11">
        <f>MAX(0,C50*B22/12)</f>
        <v/>
      </c>
      <c r="E50" s="11">
        <f>MAX(0,MIN(C50,B23-D50))</f>
        <v/>
      </c>
      <c r="F50" s="11">
        <f>MAX(0,C50-E50)</f>
        <v/>
      </c>
    </row>
    <row r="51">
      <c r="A51" s="34" t="n">
        <v>17</v>
      </c>
      <c r="B51" s="34" t="inlineStr">
        <is>
          <t>2027-04-01</t>
        </is>
      </c>
      <c r="C51" s="86">
        <f>F50</f>
        <v/>
      </c>
      <c r="D51" s="11">
        <f>MAX(0,C51*B22/12)</f>
        <v/>
      </c>
      <c r="E51" s="11">
        <f>MAX(0,MIN(C51,B23-D51))</f>
        <v/>
      </c>
      <c r="F51" s="11">
        <f>MAX(0,C51-E51)</f>
        <v/>
      </c>
    </row>
    <row r="52">
      <c r="A52" s="34" t="n">
        <v>18</v>
      </c>
      <c r="B52" s="34" t="inlineStr">
        <is>
          <t>2027-05-01</t>
        </is>
      </c>
      <c r="C52" s="86">
        <f>F51</f>
        <v/>
      </c>
      <c r="D52" s="11">
        <f>MAX(0,C52*B22/12)</f>
        <v/>
      </c>
      <c r="E52" s="11">
        <f>MAX(0,MIN(C52,B23-D52))</f>
        <v/>
      </c>
      <c r="F52" s="11">
        <f>MAX(0,C52-E52)</f>
        <v/>
      </c>
    </row>
    <row r="53">
      <c r="A53" s="34" t="n">
        <v>19</v>
      </c>
      <c r="B53" s="34" t="inlineStr">
        <is>
          <t>2027-06-01</t>
        </is>
      </c>
      <c r="C53" s="86">
        <f>F52</f>
        <v/>
      </c>
      <c r="D53" s="11">
        <f>MAX(0,C53*B22/12)</f>
        <v/>
      </c>
      <c r="E53" s="11">
        <f>MAX(0,MIN(C53,B23-D53))</f>
        <v/>
      </c>
      <c r="F53" s="11">
        <f>MAX(0,C53-E53)</f>
        <v/>
      </c>
    </row>
    <row r="54">
      <c r="A54" s="34" t="n">
        <v>20</v>
      </c>
      <c r="B54" s="34" t="inlineStr">
        <is>
          <t>2027-07-01</t>
        </is>
      </c>
      <c r="C54" s="86">
        <f>F53</f>
        <v/>
      </c>
      <c r="D54" s="11">
        <f>MAX(0,C54*B22/12)</f>
        <v/>
      </c>
      <c r="E54" s="11">
        <f>MAX(0,MIN(C54,B23-D54))</f>
        <v/>
      </c>
      <c r="F54" s="11">
        <f>MAX(0,C54-E54)</f>
        <v/>
      </c>
    </row>
    <row r="55">
      <c r="A55" s="34" t="n">
        <v>21</v>
      </c>
      <c r="B55" s="34" t="inlineStr">
        <is>
          <t>2027-08-01</t>
        </is>
      </c>
      <c r="C55" s="86">
        <f>F54</f>
        <v/>
      </c>
      <c r="D55" s="11">
        <f>MAX(0,C55*B22/12)</f>
        <v/>
      </c>
      <c r="E55" s="11">
        <f>MAX(0,MIN(C55,B23-D55))</f>
        <v/>
      </c>
      <c r="F55" s="11">
        <f>MAX(0,C55-E55)</f>
        <v/>
      </c>
    </row>
    <row r="56">
      <c r="A56" s="34" t="n">
        <v>22</v>
      </c>
      <c r="B56" s="34" t="inlineStr">
        <is>
          <t>2027-09-01</t>
        </is>
      </c>
      <c r="C56" s="86">
        <f>F55</f>
        <v/>
      </c>
      <c r="D56" s="11">
        <f>MAX(0,C56*B22/12)</f>
        <v/>
      </c>
      <c r="E56" s="11">
        <f>MAX(0,MIN(C56,B23-D56))</f>
        <v/>
      </c>
      <c r="F56" s="11">
        <f>MAX(0,C56-E56)</f>
        <v/>
      </c>
    </row>
    <row r="57">
      <c r="A57" s="34" t="n">
        <v>23</v>
      </c>
      <c r="B57" s="34" t="inlineStr">
        <is>
          <t>2027-10-01</t>
        </is>
      </c>
      <c r="C57" s="86">
        <f>F56</f>
        <v/>
      </c>
      <c r="D57" s="11">
        <f>MAX(0,C57*B22/12)</f>
        <v/>
      </c>
      <c r="E57" s="11">
        <f>MAX(0,MIN(C57,B23-D57))</f>
        <v/>
      </c>
      <c r="F57" s="11">
        <f>MAX(0,C57-E57)</f>
        <v/>
      </c>
    </row>
    <row r="58">
      <c r="A58" s="34" t="n">
        <v>24</v>
      </c>
      <c r="B58" s="34" t="inlineStr">
        <is>
          <t>2027-11-01</t>
        </is>
      </c>
      <c r="C58" s="86">
        <f>F57</f>
        <v/>
      </c>
      <c r="D58" s="11">
        <f>MAX(0,C58*B22/12)</f>
        <v/>
      </c>
      <c r="E58" s="11">
        <f>MAX(0,MIN(C58,B23-D58))</f>
        <v/>
      </c>
      <c r="F58" s="11">
        <f>MAX(0,C58-E58)</f>
        <v/>
      </c>
    </row>
    <row r="59">
      <c r="A59" s="34" t="n">
        <v>25</v>
      </c>
      <c r="B59" s="34" t="inlineStr">
        <is>
          <t>2027-12-01</t>
        </is>
      </c>
      <c r="C59" s="86">
        <f>F58</f>
        <v/>
      </c>
      <c r="D59" s="11">
        <f>MAX(0,C59*B22/12)</f>
        <v/>
      </c>
      <c r="E59" s="11">
        <f>MAX(0,MIN(C59,B23-D59))</f>
        <v/>
      </c>
      <c r="F59" s="11">
        <f>MAX(0,C59-E59)</f>
        <v/>
      </c>
    </row>
    <row r="60">
      <c r="A60" s="34" t="n">
        <v>26</v>
      </c>
      <c r="B60" s="34" t="inlineStr">
        <is>
          <t>2028-01-01</t>
        </is>
      </c>
      <c r="C60" s="86">
        <f>F59</f>
        <v/>
      </c>
      <c r="D60" s="11">
        <f>MAX(0,C60*B22/12)</f>
        <v/>
      </c>
      <c r="E60" s="11">
        <f>MAX(0,MIN(C60,B23-D60))</f>
        <v/>
      </c>
      <c r="F60" s="11">
        <f>MAX(0,C60-E60)</f>
        <v/>
      </c>
    </row>
    <row r="61">
      <c r="A61" s="34" t="n">
        <v>27</v>
      </c>
      <c r="B61" s="34" t="inlineStr">
        <is>
          <t>2028-02-01</t>
        </is>
      </c>
      <c r="C61" s="86">
        <f>F60</f>
        <v/>
      </c>
      <c r="D61" s="11">
        <f>MAX(0,C61*B22/12)</f>
        <v/>
      </c>
      <c r="E61" s="11">
        <f>MAX(0,MIN(C61,B23-D61))</f>
        <v/>
      </c>
      <c r="F61" s="11">
        <f>MAX(0,C61-E61)</f>
        <v/>
      </c>
    </row>
    <row r="62">
      <c r="A62" s="34" t="n">
        <v>28</v>
      </c>
      <c r="B62" s="34" t="inlineStr">
        <is>
          <t>2028-03-01</t>
        </is>
      </c>
      <c r="C62" s="86">
        <f>F61</f>
        <v/>
      </c>
      <c r="D62" s="11">
        <f>MAX(0,C62*B22/12)</f>
        <v/>
      </c>
      <c r="E62" s="11">
        <f>MAX(0,MIN(C62,B23-D62))</f>
        <v/>
      </c>
      <c r="F62" s="11">
        <f>MAX(0,C62-E62)</f>
        <v/>
      </c>
    </row>
    <row r="63">
      <c r="A63" s="41" t="inlineStr">
        <is>
          <t>TOTAL</t>
        </is>
      </c>
      <c r="B63" s="34" t="inlineStr"/>
      <c r="C63" s="34" t="inlineStr"/>
      <c r="D63" s="42">
        <f>SUM(D35:D62)</f>
        <v/>
      </c>
      <c r="E63" s="42">
        <f>SUM(E35:E62)</f>
        <v/>
      </c>
      <c r="F63" s="34" t="inlineStr"/>
    </row>
    <row r="67">
      <c r="A67" s="15" t="inlineStr">
        <is>
          <t>LOAN 2: 25 Trailers (Oct 2022)</t>
        </is>
      </c>
    </row>
    <row r="69">
      <c r="A69" t="inlineStr">
        <is>
          <t>Loan ID:</t>
        </is>
      </c>
      <c r="B69" t="inlineStr">
        <is>
          <t>05-2985-001-000-00</t>
        </is>
      </c>
    </row>
    <row r="70">
      <c r="A70" t="inlineStr">
        <is>
          <t>Description:</t>
        </is>
      </c>
      <c r="B70" t="inlineStr">
        <is>
          <t>25 Trailers (Oct 2022)</t>
        </is>
      </c>
    </row>
    <row r="71">
      <c r="A71" t="inlineStr">
        <is>
          <t>Origination Date:</t>
        </is>
      </c>
      <c r="B71" t="inlineStr">
        <is>
          <t>2022-10-13</t>
        </is>
      </c>
    </row>
    <row r="72">
      <c r="A72" t="inlineStr">
        <is>
          <t>Maturity Date:</t>
        </is>
      </c>
      <c r="B72" t="inlineStr">
        <is>
          <t>2029-11-15</t>
        </is>
      </c>
    </row>
    <row r="73">
      <c r="A73" t="inlineStr">
        <is>
          <t>Opening Balance:</t>
        </is>
      </c>
      <c r="B73" s="3" t="n">
        <v>1716800</v>
      </c>
    </row>
    <row r="74">
      <c r="A74" t="inlineStr">
        <is>
          <t>Remaining Balance (Nov 2025):</t>
        </is>
      </c>
      <c r="B74" s="3" t="n">
        <v>1034652</v>
      </c>
    </row>
    <row r="75">
      <c r="A75" t="inlineStr">
        <is>
          <t>Annual Interest Rate:</t>
        </is>
      </c>
      <c r="B75" s="4" t="n">
        <v>0.0495</v>
      </c>
    </row>
    <row r="76">
      <c r="A76" t="inlineStr">
        <is>
          <t>Monthly Payment:</t>
        </is>
      </c>
      <c r="B76" s="3" t="n">
        <v>24218.15</v>
      </c>
    </row>
    <row r="77">
      <c r="A77" t="inlineStr">
        <is>
          <t>Loan Type:</t>
        </is>
      </c>
      <c r="B77" t="inlineStr">
        <is>
          <t>AMORTIZING</t>
        </is>
      </c>
    </row>
    <row r="78">
      <c r="A78" t="inlineStr">
        <is>
          <t>Use:</t>
        </is>
      </c>
      <c r="B78" t="inlineStr">
        <is>
          <t>Equipment (Trailers)</t>
        </is>
      </c>
    </row>
    <row r="80">
      <c r="A80" s="17" t="inlineStr">
        <is>
          <t>AI ANALYSIS</t>
        </is>
      </c>
    </row>
    <row r="81">
      <c r="A81" s="6" t="inlineStr">
        <is>
          <t>Loan Type Classification: AMORTIZING - Standard principal and interest payments</t>
        </is>
      </c>
    </row>
    <row r="82">
      <c r="A82" s="6" t="inlineStr">
        <is>
          <t>Months Remaining: 48 (from Nov 2025 to maturity)</t>
        </is>
      </c>
    </row>
    <row r="83">
      <c r="A83" s="6" t="inlineStr">
        <is>
          <t>Equipment Financed: Equipment (Trailers)</t>
        </is>
      </c>
    </row>
    <row r="84">
      <c r="A84" s="6" t="inlineStr">
        <is>
          <t>Amortization: Full amortization schedule below starting from Dec 2025</t>
        </is>
      </c>
    </row>
    <row r="87">
      <c r="A87" s="84" t="inlineStr">
        <is>
          <t>Month #</t>
        </is>
      </c>
      <c r="B87" s="84" t="inlineStr">
        <is>
          <t>Date</t>
        </is>
      </c>
      <c r="C87" s="84" t="inlineStr">
        <is>
          <t>Opening Balance</t>
        </is>
      </c>
      <c r="D87" s="84" t="inlineStr">
        <is>
          <t>Interest</t>
        </is>
      </c>
      <c r="E87" s="84" t="inlineStr">
        <is>
          <t>Principal</t>
        </is>
      </c>
      <c r="F87" s="84" t="inlineStr">
        <is>
          <t>Closing Balance</t>
        </is>
      </c>
    </row>
    <row r="88">
      <c r="A88" s="34" t="n">
        <v>1</v>
      </c>
      <c r="B88" s="34" t="inlineStr">
        <is>
          <t>2025-12-01</t>
        </is>
      </c>
      <c r="C88" s="86">
        <f>B74</f>
        <v/>
      </c>
      <c r="D88" s="11">
        <f>MAX(0,C88*B75/12)</f>
        <v/>
      </c>
      <c r="E88" s="11">
        <f>MAX(0,MIN(C88,B76-D88))</f>
        <v/>
      </c>
      <c r="F88" s="11">
        <f>MAX(0,C88-E88)</f>
        <v/>
      </c>
    </row>
    <row r="89">
      <c r="A89" s="34" t="n">
        <v>2</v>
      </c>
      <c r="B89" s="34" t="inlineStr">
        <is>
          <t>2026-01-01</t>
        </is>
      </c>
      <c r="C89" s="86">
        <f>F88</f>
        <v/>
      </c>
      <c r="D89" s="11">
        <f>MAX(0,C89*B75/12)</f>
        <v/>
      </c>
      <c r="E89" s="11">
        <f>MAX(0,MIN(C89,B76-D89))</f>
        <v/>
      </c>
      <c r="F89" s="11">
        <f>MAX(0,C89-E89)</f>
        <v/>
      </c>
    </row>
    <row r="90">
      <c r="A90" s="34" t="n">
        <v>3</v>
      </c>
      <c r="B90" s="34" t="inlineStr">
        <is>
          <t>2026-02-01</t>
        </is>
      </c>
      <c r="C90" s="86">
        <f>F89</f>
        <v/>
      </c>
      <c r="D90" s="11">
        <f>MAX(0,C90*B75/12)</f>
        <v/>
      </c>
      <c r="E90" s="11">
        <f>MAX(0,MIN(C90,B76-D90))</f>
        <v/>
      </c>
      <c r="F90" s="11">
        <f>MAX(0,C90-E90)</f>
        <v/>
      </c>
    </row>
    <row r="91">
      <c r="A91" s="34" t="n">
        <v>4</v>
      </c>
      <c r="B91" s="34" t="inlineStr">
        <is>
          <t>2026-03-01</t>
        </is>
      </c>
      <c r="C91" s="86">
        <f>F90</f>
        <v/>
      </c>
      <c r="D91" s="11">
        <f>MAX(0,C91*B75/12)</f>
        <v/>
      </c>
      <c r="E91" s="11">
        <f>MAX(0,MIN(C91,B76-D91))</f>
        <v/>
      </c>
      <c r="F91" s="11">
        <f>MAX(0,C91-E91)</f>
        <v/>
      </c>
    </row>
    <row r="92">
      <c r="A92" s="34" t="n">
        <v>5</v>
      </c>
      <c r="B92" s="34" t="inlineStr">
        <is>
          <t>2026-04-01</t>
        </is>
      </c>
      <c r="C92" s="86">
        <f>F91</f>
        <v/>
      </c>
      <c r="D92" s="11">
        <f>MAX(0,C92*B75/12)</f>
        <v/>
      </c>
      <c r="E92" s="11">
        <f>MAX(0,MIN(C92,B76-D92))</f>
        <v/>
      </c>
      <c r="F92" s="11">
        <f>MAX(0,C92-E92)</f>
        <v/>
      </c>
    </row>
    <row r="93">
      <c r="A93" s="34" t="n">
        <v>6</v>
      </c>
      <c r="B93" s="34" t="inlineStr">
        <is>
          <t>2026-05-01</t>
        </is>
      </c>
      <c r="C93" s="86">
        <f>F92</f>
        <v/>
      </c>
      <c r="D93" s="11">
        <f>MAX(0,C93*B75/12)</f>
        <v/>
      </c>
      <c r="E93" s="11">
        <f>MAX(0,MIN(C93,B76-D93))</f>
        <v/>
      </c>
      <c r="F93" s="11">
        <f>MAX(0,C93-E93)</f>
        <v/>
      </c>
    </row>
    <row r="94">
      <c r="A94" s="34" t="n">
        <v>7</v>
      </c>
      <c r="B94" s="34" t="inlineStr">
        <is>
          <t>2026-06-01</t>
        </is>
      </c>
      <c r="C94" s="86">
        <f>F93</f>
        <v/>
      </c>
      <c r="D94" s="11">
        <f>MAX(0,C94*B75/12)</f>
        <v/>
      </c>
      <c r="E94" s="11">
        <f>MAX(0,MIN(C94,B76-D94))</f>
        <v/>
      </c>
      <c r="F94" s="11">
        <f>MAX(0,C94-E94)</f>
        <v/>
      </c>
    </row>
    <row r="95">
      <c r="A95" s="34" t="n">
        <v>8</v>
      </c>
      <c r="B95" s="34" t="inlineStr">
        <is>
          <t>2026-07-01</t>
        </is>
      </c>
      <c r="C95" s="86">
        <f>F94</f>
        <v/>
      </c>
      <c r="D95" s="11">
        <f>MAX(0,C95*B75/12)</f>
        <v/>
      </c>
      <c r="E95" s="11">
        <f>MAX(0,MIN(C95,B76-D95))</f>
        <v/>
      </c>
      <c r="F95" s="11">
        <f>MAX(0,C95-E95)</f>
        <v/>
      </c>
    </row>
    <row r="96">
      <c r="A96" s="34" t="n">
        <v>9</v>
      </c>
      <c r="B96" s="34" t="inlineStr">
        <is>
          <t>2026-08-01</t>
        </is>
      </c>
      <c r="C96" s="86">
        <f>F95</f>
        <v/>
      </c>
      <c r="D96" s="11">
        <f>MAX(0,C96*B75/12)</f>
        <v/>
      </c>
      <c r="E96" s="11">
        <f>MAX(0,MIN(C96,B76-D96))</f>
        <v/>
      </c>
      <c r="F96" s="11">
        <f>MAX(0,C96-E96)</f>
        <v/>
      </c>
    </row>
    <row r="97">
      <c r="A97" s="34" t="n">
        <v>10</v>
      </c>
      <c r="B97" s="34" t="inlineStr">
        <is>
          <t>2026-09-01</t>
        </is>
      </c>
      <c r="C97" s="86">
        <f>F96</f>
        <v/>
      </c>
      <c r="D97" s="11">
        <f>MAX(0,C97*B75/12)</f>
        <v/>
      </c>
      <c r="E97" s="11">
        <f>MAX(0,MIN(C97,B76-D97))</f>
        <v/>
      </c>
      <c r="F97" s="11">
        <f>MAX(0,C97-E97)</f>
        <v/>
      </c>
    </row>
    <row r="98">
      <c r="A98" s="34" t="n">
        <v>11</v>
      </c>
      <c r="B98" s="34" t="inlineStr">
        <is>
          <t>2026-10-01</t>
        </is>
      </c>
      <c r="C98" s="86">
        <f>F97</f>
        <v/>
      </c>
      <c r="D98" s="11">
        <f>MAX(0,C98*B75/12)</f>
        <v/>
      </c>
      <c r="E98" s="11">
        <f>MAX(0,MIN(C98,B76-D98))</f>
        <v/>
      </c>
      <c r="F98" s="11">
        <f>MAX(0,C98-E98)</f>
        <v/>
      </c>
    </row>
    <row r="99">
      <c r="A99" s="34" t="n">
        <v>12</v>
      </c>
      <c r="B99" s="34" t="inlineStr">
        <is>
          <t>2026-11-01</t>
        </is>
      </c>
      <c r="C99" s="86">
        <f>F98</f>
        <v/>
      </c>
      <c r="D99" s="11">
        <f>MAX(0,C99*B75/12)</f>
        <v/>
      </c>
      <c r="E99" s="11">
        <f>MAX(0,MIN(C99,B76-D99))</f>
        <v/>
      </c>
      <c r="F99" s="11">
        <f>MAX(0,C99-E99)</f>
        <v/>
      </c>
    </row>
    <row r="100">
      <c r="A100" s="34" t="n">
        <v>13</v>
      </c>
      <c r="B100" s="34" t="inlineStr">
        <is>
          <t>2026-12-01</t>
        </is>
      </c>
      <c r="C100" s="86">
        <f>F99</f>
        <v/>
      </c>
      <c r="D100" s="11">
        <f>MAX(0,C100*B75/12)</f>
        <v/>
      </c>
      <c r="E100" s="11">
        <f>MAX(0,MIN(C100,B76-D100))</f>
        <v/>
      </c>
      <c r="F100" s="11">
        <f>MAX(0,C100-E100)</f>
        <v/>
      </c>
    </row>
    <row r="101">
      <c r="A101" s="34" t="n">
        <v>14</v>
      </c>
      <c r="B101" s="34" t="inlineStr">
        <is>
          <t>2027-01-01</t>
        </is>
      </c>
      <c r="C101" s="86">
        <f>F100</f>
        <v/>
      </c>
      <c r="D101" s="11">
        <f>MAX(0,C101*B75/12)</f>
        <v/>
      </c>
      <c r="E101" s="11">
        <f>MAX(0,MIN(C101,B76-D101))</f>
        <v/>
      </c>
      <c r="F101" s="11">
        <f>MAX(0,C101-E101)</f>
        <v/>
      </c>
    </row>
    <row r="102">
      <c r="A102" s="34" t="n">
        <v>15</v>
      </c>
      <c r="B102" s="34" t="inlineStr">
        <is>
          <t>2027-02-01</t>
        </is>
      </c>
      <c r="C102" s="86">
        <f>F101</f>
        <v/>
      </c>
      <c r="D102" s="11">
        <f>MAX(0,C102*B75/12)</f>
        <v/>
      </c>
      <c r="E102" s="11">
        <f>MAX(0,MIN(C102,B76-D102))</f>
        <v/>
      </c>
      <c r="F102" s="11">
        <f>MAX(0,C102-E102)</f>
        <v/>
      </c>
    </row>
    <row r="103">
      <c r="A103" s="34" t="n">
        <v>16</v>
      </c>
      <c r="B103" s="34" t="inlineStr">
        <is>
          <t>2027-03-01</t>
        </is>
      </c>
      <c r="C103" s="86">
        <f>F102</f>
        <v/>
      </c>
      <c r="D103" s="11">
        <f>MAX(0,C103*B75/12)</f>
        <v/>
      </c>
      <c r="E103" s="11">
        <f>MAX(0,MIN(C103,B76-D103))</f>
        <v/>
      </c>
      <c r="F103" s="11">
        <f>MAX(0,C103-E103)</f>
        <v/>
      </c>
    </row>
    <row r="104">
      <c r="A104" s="34" t="n">
        <v>17</v>
      </c>
      <c r="B104" s="34" t="inlineStr">
        <is>
          <t>2027-04-01</t>
        </is>
      </c>
      <c r="C104" s="86">
        <f>F103</f>
        <v/>
      </c>
      <c r="D104" s="11">
        <f>MAX(0,C104*B75/12)</f>
        <v/>
      </c>
      <c r="E104" s="11">
        <f>MAX(0,MIN(C104,B76-D104))</f>
        <v/>
      </c>
      <c r="F104" s="11">
        <f>MAX(0,C104-E104)</f>
        <v/>
      </c>
    </row>
    <row r="105">
      <c r="A105" s="34" t="n">
        <v>18</v>
      </c>
      <c r="B105" s="34" t="inlineStr">
        <is>
          <t>2027-05-01</t>
        </is>
      </c>
      <c r="C105" s="86">
        <f>F104</f>
        <v/>
      </c>
      <c r="D105" s="11">
        <f>MAX(0,C105*B75/12)</f>
        <v/>
      </c>
      <c r="E105" s="11">
        <f>MAX(0,MIN(C105,B76-D105))</f>
        <v/>
      </c>
      <c r="F105" s="11">
        <f>MAX(0,C105-E105)</f>
        <v/>
      </c>
    </row>
    <row r="106">
      <c r="A106" s="34" t="n">
        <v>19</v>
      </c>
      <c r="B106" s="34" t="inlineStr">
        <is>
          <t>2027-06-01</t>
        </is>
      </c>
      <c r="C106" s="86">
        <f>F105</f>
        <v/>
      </c>
      <c r="D106" s="11">
        <f>MAX(0,C106*B75/12)</f>
        <v/>
      </c>
      <c r="E106" s="11">
        <f>MAX(0,MIN(C106,B76-D106))</f>
        <v/>
      </c>
      <c r="F106" s="11">
        <f>MAX(0,C106-E106)</f>
        <v/>
      </c>
    </row>
    <row r="107">
      <c r="A107" s="34" t="n">
        <v>20</v>
      </c>
      <c r="B107" s="34" t="inlineStr">
        <is>
          <t>2027-07-01</t>
        </is>
      </c>
      <c r="C107" s="86">
        <f>F106</f>
        <v/>
      </c>
      <c r="D107" s="11">
        <f>MAX(0,C107*B75/12)</f>
        <v/>
      </c>
      <c r="E107" s="11">
        <f>MAX(0,MIN(C107,B76-D107))</f>
        <v/>
      </c>
      <c r="F107" s="11">
        <f>MAX(0,C107-E107)</f>
        <v/>
      </c>
    </row>
    <row r="108">
      <c r="A108" s="34" t="n">
        <v>21</v>
      </c>
      <c r="B108" s="34" t="inlineStr">
        <is>
          <t>2027-08-01</t>
        </is>
      </c>
      <c r="C108" s="86">
        <f>F107</f>
        <v/>
      </c>
      <c r="D108" s="11">
        <f>MAX(0,C108*B75/12)</f>
        <v/>
      </c>
      <c r="E108" s="11">
        <f>MAX(0,MIN(C108,B76-D108))</f>
        <v/>
      </c>
      <c r="F108" s="11">
        <f>MAX(0,C108-E108)</f>
        <v/>
      </c>
    </row>
    <row r="109">
      <c r="A109" s="34" t="n">
        <v>22</v>
      </c>
      <c r="B109" s="34" t="inlineStr">
        <is>
          <t>2027-09-01</t>
        </is>
      </c>
      <c r="C109" s="86">
        <f>F108</f>
        <v/>
      </c>
      <c r="D109" s="11">
        <f>MAX(0,C109*B75/12)</f>
        <v/>
      </c>
      <c r="E109" s="11">
        <f>MAX(0,MIN(C109,B76-D109))</f>
        <v/>
      </c>
      <c r="F109" s="11">
        <f>MAX(0,C109-E109)</f>
        <v/>
      </c>
    </row>
    <row r="110">
      <c r="A110" s="34" t="n">
        <v>23</v>
      </c>
      <c r="B110" s="34" t="inlineStr">
        <is>
          <t>2027-10-01</t>
        </is>
      </c>
      <c r="C110" s="86">
        <f>F109</f>
        <v/>
      </c>
      <c r="D110" s="11">
        <f>MAX(0,C110*B75/12)</f>
        <v/>
      </c>
      <c r="E110" s="11">
        <f>MAX(0,MIN(C110,B76-D110))</f>
        <v/>
      </c>
      <c r="F110" s="11">
        <f>MAX(0,C110-E110)</f>
        <v/>
      </c>
    </row>
    <row r="111">
      <c r="A111" s="34" t="n">
        <v>24</v>
      </c>
      <c r="B111" s="34" t="inlineStr">
        <is>
          <t>2027-11-01</t>
        </is>
      </c>
      <c r="C111" s="86">
        <f>F110</f>
        <v/>
      </c>
      <c r="D111" s="11">
        <f>MAX(0,C111*B75/12)</f>
        <v/>
      </c>
      <c r="E111" s="11">
        <f>MAX(0,MIN(C111,B76-D111))</f>
        <v/>
      </c>
      <c r="F111" s="11">
        <f>MAX(0,C111-E111)</f>
        <v/>
      </c>
    </row>
    <row r="112">
      <c r="A112" s="34" t="n">
        <v>25</v>
      </c>
      <c r="B112" s="34" t="inlineStr">
        <is>
          <t>2027-12-01</t>
        </is>
      </c>
      <c r="C112" s="86">
        <f>F111</f>
        <v/>
      </c>
      <c r="D112" s="11">
        <f>MAX(0,C112*B75/12)</f>
        <v/>
      </c>
      <c r="E112" s="11">
        <f>MAX(0,MIN(C112,B76-D112))</f>
        <v/>
      </c>
      <c r="F112" s="11">
        <f>MAX(0,C112-E112)</f>
        <v/>
      </c>
    </row>
    <row r="113">
      <c r="A113" s="34" t="n">
        <v>26</v>
      </c>
      <c r="B113" s="34" t="inlineStr">
        <is>
          <t>2028-01-01</t>
        </is>
      </c>
      <c r="C113" s="86">
        <f>F112</f>
        <v/>
      </c>
      <c r="D113" s="11">
        <f>MAX(0,C113*B75/12)</f>
        <v/>
      </c>
      <c r="E113" s="11">
        <f>MAX(0,MIN(C113,B76-D113))</f>
        <v/>
      </c>
      <c r="F113" s="11">
        <f>MAX(0,C113-E113)</f>
        <v/>
      </c>
    </row>
    <row r="114">
      <c r="A114" s="34" t="n">
        <v>27</v>
      </c>
      <c r="B114" s="34" t="inlineStr">
        <is>
          <t>2028-02-01</t>
        </is>
      </c>
      <c r="C114" s="86">
        <f>F113</f>
        <v/>
      </c>
      <c r="D114" s="11">
        <f>MAX(0,C114*B75/12)</f>
        <v/>
      </c>
      <c r="E114" s="11">
        <f>MAX(0,MIN(C114,B76-D114))</f>
        <v/>
      </c>
      <c r="F114" s="11">
        <f>MAX(0,C114-E114)</f>
        <v/>
      </c>
    </row>
    <row r="115">
      <c r="A115" s="34" t="n">
        <v>28</v>
      </c>
      <c r="B115" s="34" t="inlineStr">
        <is>
          <t>2028-03-01</t>
        </is>
      </c>
      <c r="C115" s="86">
        <f>F114</f>
        <v/>
      </c>
      <c r="D115" s="11">
        <f>MAX(0,C115*B75/12)</f>
        <v/>
      </c>
      <c r="E115" s="11">
        <f>MAX(0,MIN(C115,B76-D115))</f>
        <v/>
      </c>
      <c r="F115" s="11">
        <f>MAX(0,C115-E115)</f>
        <v/>
      </c>
    </row>
    <row r="116">
      <c r="A116" s="34" t="n">
        <v>29</v>
      </c>
      <c r="B116" s="34" t="inlineStr">
        <is>
          <t>2028-04-01</t>
        </is>
      </c>
      <c r="C116" s="86">
        <f>F115</f>
        <v/>
      </c>
      <c r="D116" s="11">
        <f>MAX(0,C116*B75/12)</f>
        <v/>
      </c>
      <c r="E116" s="11">
        <f>MAX(0,MIN(C116,B76-D116))</f>
        <v/>
      </c>
      <c r="F116" s="11">
        <f>MAX(0,C116-E116)</f>
        <v/>
      </c>
    </row>
    <row r="117">
      <c r="A117" s="34" t="n">
        <v>30</v>
      </c>
      <c r="B117" s="34" t="inlineStr">
        <is>
          <t>2028-05-01</t>
        </is>
      </c>
      <c r="C117" s="86">
        <f>F116</f>
        <v/>
      </c>
      <c r="D117" s="11">
        <f>MAX(0,C117*B75/12)</f>
        <v/>
      </c>
      <c r="E117" s="11">
        <f>MAX(0,MIN(C117,B76-D117))</f>
        <v/>
      </c>
      <c r="F117" s="11">
        <f>MAX(0,C117-E117)</f>
        <v/>
      </c>
    </row>
    <row r="118">
      <c r="A118" s="34" t="n">
        <v>31</v>
      </c>
      <c r="B118" s="34" t="inlineStr">
        <is>
          <t>2028-06-01</t>
        </is>
      </c>
      <c r="C118" s="86">
        <f>F117</f>
        <v/>
      </c>
      <c r="D118" s="11">
        <f>MAX(0,C118*B75/12)</f>
        <v/>
      </c>
      <c r="E118" s="11">
        <f>MAX(0,MIN(C118,B76-D118))</f>
        <v/>
      </c>
      <c r="F118" s="11">
        <f>MAX(0,C118-E118)</f>
        <v/>
      </c>
    </row>
    <row r="119">
      <c r="A119" s="34" t="n">
        <v>32</v>
      </c>
      <c r="B119" s="34" t="inlineStr">
        <is>
          <t>2028-07-01</t>
        </is>
      </c>
      <c r="C119" s="86">
        <f>F118</f>
        <v/>
      </c>
      <c r="D119" s="11">
        <f>MAX(0,C119*B75/12)</f>
        <v/>
      </c>
      <c r="E119" s="11">
        <f>MAX(0,MIN(C119,B76-D119))</f>
        <v/>
      </c>
      <c r="F119" s="11">
        <f>MAX(0,C119-E119)</f>
        <v/>
      </c>
    </row>
    <row r="120">
      <c r="A120" s="34" t="n">
        <v>33</v>
      </c>
      <c r="B120" s="34" t="inlineStr">
        <is>
          <t>2028-08-01</t>
        </is>
      </c>
      <c r="C120" s="86">
        <f>F119</f>
        <v/>
      </c>
      <c r="D120" s="11">
        <f>MAX(0,C120*B75/12)</f>
        <v/>
      </c>
      <c r="E120" s="11">
        <f>MAX(0,MIN(C120,B76-D120))</f>
        <v/>
      </c>
      <c r="F120" s="11">
        <f>MAX(0,C120-E120)</f>
        <v/>
      </c>
    </row>
    <row r="121">
      <c r="A121" s="34" t="n">
        <v>34</v>
      </c>
      <c r="B121" s="34" t="inlineStr">
        <is>
          <t>2028-09-01</t>
        </is>
      </c>
      <c r="C121" s="86">
        <f>F120</f>
        <v/>
      </c>
      <c r="D121" s="11">
        <f>MAX(0,C121*B75/12)</f>
        <v/>
      </c>
      <c r="E121" s="11">
        <f>MAX(0,MIN(C121,B76-D121))</f>
        <v/>
      </c>
      <c r="F121" s="11">
        <f>MAX(0,C121-E121)</f>
        <v/>
      </c>
    </row>
    <row r="122">
      <c r="A122" s="34" t="n">
        <v>35</v>
      </c>
      <c r="B122" s="34" t="inlineStr">
        <is>
          <t>2028-10-01</t>
        </is>
      </c>
      <c r="C122" s="86">
        <f>F121</f>
        <v/>
      </c>
      <c r="D122" s="11">
        <f>MAX(0,C122*B75/12)</f>
        <v/>
      </c>
      <c r="E122" s="11">
        <f>MAX(0,MIN(C122,B76-D122))</f>
        <v/>
      </c>
      <c r="F122" s="11">
        <f>MAX(0,C122-E122)</f>
        <v/>
      </c>
    </row>
    <row r="123">
      <c r="A123" s="34" t="n">
        <v>36</v>
      </c>
      <c r="B123" s="34" t="inlineStr">
        <is>
          <t>2028-11-01</t>
        </is>
      </c>
      <c r="C123" s="86">
        <f>F122</f>
        <v/>
      </c>
      <c r="D123" s="11">
        <f>MAX(0,C123*B75/12)</f>
        <v/>
      </c>
      <c r="E123" s="11">
        <f>MAX(0,MIN(C123,B76-D123))</f>
        <v/>
      </c>
      <c r="F123" s="11">
        <f>MAX(0,C123-E123)</f>
        <v/>
      </c>
    </row>
    <row r="124">
      <c r="A124" s="34" t="n">
        <v>37</v>
      </c>
      <c r="B124" s="34" t="inlineStr">
        <is>
          <t>2028-12-01</t>
        </is>
      </c>
      <c r="C124" s="86">
        <f>F123</f>
        <v/>
      </c>
      <c r="D124" s="11">
        <f>MAX(0,C124*B75/12)</f>
        <v/>
      </c>
      <c r="E124" s="11">
        <f>MAX(0,MIN(C124,B76-D124))</f>
        <v/>
      </c>
      <c r="F124" s="11">
        <f>MAX(0,C124-E124)</f>
        <v/>
      </c>
    </row>
    <row r="125">
      <c r="A125" s="34" t="n">
        <v>38</v>
      </c>
      <c r="B125" s="34" t="inlineStr">
        <is>
          <t>2029-01-01</t>
        </is>
      </c>
      <c r="C125" s="86">
        <f>F124</f>
        <v/>
      </c>
      <c r="D125" s="11">
        <f>MAX(0,C125*B75/12)</f>
        <v/>
      </c>
      <c r="E125" s="11">
        <f>MAX(0,MIN(C125,B76-D125))</f>
        <v/>
      </c>
      <c r="F125" s="11">
        <f>MAX(0,C125-E125)</f>
        <v/>
      </c>
    </row>
    <row r="126">
      <c r="A126" s="34" t="n">
        <v>39</v>
      </c>
      <c r="B126" s="34" t="inlineStr">
        <is>
          <t>2029-02-01</t>
        </is>
      </c>
      <c r="C126" s="86">
        <f>F125</f>
        <v/>
      </c>
      <c r="D126" s="11">
        <f>MAX(0,C126*B75/12)</f>
        <v/>
      </c>
      <c r="E126" s="11">
        <f>MAX(0,MIN(C126,B76-D126))</f>
        <v/>
      </c>
      <c r="F126" s="11">
        <f>MAX(0,C126-E126)</f>
        <v/>
      </c>
    </row>
    <row r="127">
      <c r="A127" s="34" t="n">
        <v>40</v>
      </c>
      <c r="B127" s="34" t="inlineStr">
        <is>
          <t>2029-03-01</t>
        </is>
      </c>
      <c r="C127" s="86">
        <f>F126</f>
        <v/>
      </c>
      <c r="D127" s="11">
        <f>MAX(0,C127*B75/12)</f>
        <v/>
      </c>
      <c r="E127" s="11">
        <f>MAX(0,MIN(C127,B76-D127))</f>
        <v/>
      </c>
      <c r="F127" s="11">
        <f>MAX(0,C127-E127)</f>
        <v/>
      </c>
    </row>
    <row r="128">
      <c r="A128" s="34" t="n">
        <v>41</v>
      </c>
      <c r="B128" s="34" t="inlineStr">
        <is>
          <t>2029-04-01</t>
        </is>
      </c>
      <c r="C128" s="86">
        <f>F127</f>
        <v/>
      </c>
      <c r="D128" s="11">
        <f>MAX(0,C128*B75/12)</f>
        <v/>
      </c>
      <c r="E128" s="11">
        <f>MAX(0,MIN(C128,B76-D128))</f>
        <v/>
      </c>
      <c r="F128" s="11">
        <f>MAX(0,C128-E128)</f>
        <v/>
      </c>
    </row>
    <row r="129">
      <c r="A129" s="34" t="n">
        <v>42</v>
      </c>
      <c r="B129" s="34" t="inlineStr">
        <is>
          <t>2029-05-01</t>
        </is>
      </c>
      <c r="C129" s="86">
        <f>F128</f>
        <v/>
      </c>
      <c r="D129" s="11">
        <f>MAX(0,C129*B75/12)</f>
        <v/>
      </c>
      <c r="E129" s="11">
        <f>MAX(0,MIN(C129,B76-D129))</f>
        <v/>
      </c>
      <c r="F129" s="11">
        <f>MAX(0,C129-E129)</f>
        <v/>
      </c>
    </row>
    <row r="130">
      <c r="A130" s="34" t="n">
        <v>43</v>
      </c>
      <c r="B130" s="34" t="inlineStr">
        <is>
          <t>2029-06-01</t>
        </is>
      </c>
      <c r="C130" s="86">
        <f>F129</f>
        <v/>
      </c>
      <c r="D130" s="11">
        <f>MAX(0,C130*B75/12)</f>
        <v/>
      </c>
      <c r="E130" s="11">
        <f>MAX(0,MIN(C130,B76-D130))</f>
        <v/>
      </c>
      <c r="F130" s="11">
        <f>MAX(0,C130-E130)</f>
        <v/>
      </c>
    </row>
    <row r="131">
      <c r="A131" s="34" t="n">
        <v>44</v>
      </c>
      <c r="B131" s="34" t="inlineStr">
        <is>
          <t>2029-07-01</t>
        </is>
      </c>
      <c r="C131" s="86">
        <f>F130</f>
        <v/>
      </c>
      <c r="D131" s="11">
        <f>MAX(0,C131*B75/12)</f>
        <v/>
      </c>
      <c r="E131" s="11">
        <f>MAX(0,MIN(C131,B76-D131))</f>
        <v/>
      </c>
      <c r="F131" s="11">
        <f>MAX(0,C131-E131)</f>
        <v/>
      </c>
    </row>
    <row r="132">
      <c r="A132" s="34" t="n">
        <v>45</v>
      </c>
      <c r="B132" s="34" t="inlineStr">
        <is>
          <t>2029-08-01</t>
        </is>
      </c>
      <c r="C132" s="86">
        <f>F131</f>
        <v/>
      </c>
      <c r="D132" s="11">
        <f>MAX(0,C132*B75/12)</f>
        <v/>
      </c>
      <c r="E132" s="11">
        <f>MAX(0,MIN(C132,B76-D132))</f>
        <v/>
      </c>
      <c r="F132" s="11">
        <f>MAX(0,C132-E132)</f>
        <v/>
      </c>
    </row>
    <row r="133">
      <c r="A133" s="34" t="n">
        <v>46</v>
      </c>
      <c r="B133" s="34" t="inlineStr">
        <is>
          <t>2029-09-01</t>
        </is>
      </c>
      <c r="C133" s="86">
        <f>F132</f>
        <v/>
      </c>
      <c r="D133" s="11">
        <f>MAX(0,C133*B75/12)</f>
        <v/>
      </c>
      <c r="E133" s="11">
        <f>MAX(0,MIN(C133,B76-D133))</f>
        <v/>
      </c>
      <c r="F133" s="11">
        <f>MAX(0,C133-E133)</f>
        <v/>
      </c>
    </row>
    <row r="134">
      <c r="A134" s="34" t="n">
        <v>47</v>
      </c>
      <c r="B134" s="34" t="inlineStr">
        <is>
          <t>2029-10-01</t>
        </is>
      </c>
      <c r="C134" s="86">
        <f>F133</f>
        <v/>
      </c>
      <c r="D134" s="11">
        <f>MAX(0,C134*B75/12)</f>
        <v/>
      </c>
      <c r="E134" s="11">
        <f>MAX(0,MIN(C134,B76-D134))</f>
        <v/>
      </c>
      <c r="F134" s="11">
        <f>MAX(0,C134-E134)</f>
        <v/>
      </c>
    </row>
    <row r="135">
      <c r="A135" s="34" t="n">
        <v>48</v>
      </c>
      <c r="B135" s="34" t="inlineStr">
        <is>
          <t>2029-11-01</t>
        </is>
      </c>
      <c r="C135" s="86">
        <f>F134</f>
        <v/>
      </c>
      <c r="D135" s="11">
        <f>MAX(0,C135*B75/12)</f>
        <v/>
      </c>
      <c r="E135" s="11">
        <f>MAX(0,MIN(C135,B76-D135))</f>
        <v/>
      </c>
      <c r="F135" s="11">
        <f>MAX(0,C135-E135)</f>
        <v/>
      </c>
    </row>
    <row r="136">
      <c r="A136" s="41" t="inlineStr">
        <is>
          <t>TOTAL</t>
        </is>
      </c>
      <c r="B136" s="34" t="inlineStr"/>
      <c r="C136" s="34" t="inlineStr"/>
      <c r="D136" s="42">
        <f>SUM(D88:D135)</f>
        <v/>
      </c>
      <c r="E136" s="42">
        <f>SUM(E88:E135)</f>
        <v/>
      </c>
      <c r="F136" s="34" t="inlineStr"/>
    </row>
    <row r="140">
      <c r="A140" s="15" t="inlineStr">
        <is>
          <t>LOAN 3: 3 Peterbilt 579 (Feb 2023)</t>
        </is>
      </c>
    </row>
    <row r="142">
      <c r="A142" t="inlineStr">
        <is>
          <t>Loan ID:</t>
        </is>
      </c>
      <c r="B142" t="inlineStr">
        <is>
          <t>05-2985-002-000-00</t>
        </is>
      </c>
    </row>
    <row r="143">
      <c r="A143" t="inlineStr">
        <is>
          <t>Description:</t>
        </is>
      </c>
      <c r="B143" t="inlineStr">
        <is>
          <t>3 Peterbilt 579 (Feb 2023)</t>
        </is>
      </c>
    </row>
    <row r="144">
      <c r="A144" t="inlineStr">
        <is>
          <t>Origination Date:</t>
        </is>
      </c>
      <c r="B144" t="inlineStr">
        <is>
          <t>2023-02-03</t>
        </is>
      </c>
    </row>
    <row r="145">
      <c r="A145" t="inlineStr">
        <is>
          <t>Maturity Date:</t>
        </is>
      </c>
      <c r="B145" t="inlineStr">
        <is>
          <t>2028-08-01</t>
        </is>
      </c>
    </row>
    <row r="146">
      <c r="A146" t="inlineStr">
        <is>
          <t>Opening Balance:</t>
        </is>
      </c>
      <c r="B146" s="3" t="n">
        <v>609514.2</v>
      </c>
    </row>
    <row r="147">
      <c r="A147" t="inlineStr">
        <is>
          <t>Remaining Balance (Nov 2025):</t>
        </is>
      </c>
      <c r="B147" s="3" t="n">
        <v>327063</v>
      </c>
    </row>
    <row r="148">
      <c r="A148" t="inlineStr">
        <is>
          <t>Annual Interest Rate:</t>
        </is>
      </c>
      <c r="B148" s="4" t="n">
        <v>0.0535</v>
      </c>
    </row>
    <row r="149">
      <c r="A149" t="inlineStr">
        <is>
          <t>Monthly Payment:</t>
        </is>
      </c>
      <c r="B149" s="3" t="n">
        <v>10672.83</v>
      </c>
    </row>
    <row r="150">
      <c r="A150" t="inlineStr">
        <is>
          <t>Loan Type:</t>
        </is>
      </c>
      <c r="B150" t="inlineStr">
        <is>
          <t>AMORTIZING</t>
        </is>
      </c>
    </row>
    <row r="151">
      <c r="A151" t="inlineStr">
        <is>
          <t>Use:</t>
        </is>
      </c>
      <c r="B151" t="inlineStr">
        <is>
          <t>Equipment (Semi trucks)</t>
        </is>
      </c>
    </row>
    <row r="153">
      <c r="A153" s="17" t="inlineStr">
        <is>
          <t>AI ANALYSIS</t>
        </is>
      </c>
    </row>
    <row r="154">
      <c r="A154" s="6" t="inlineStr">
        <is>
          <t>Loan Type Classification: AMORTIZING - Standard principal and interest payments</t>
        </is>
      </c>
    </row>
    <row r="155">
      <c r="A155" s="6" t="inlineStr">
        <is>
          <t>Months Remaining: 33 (from Nov 2025 to maturity)</t>
        </is>
      </c>
    </row>
    <row r="156">
      <c r="A156" s="6" t="inlineStr">
        <is>
          <t>Equipment Financed: Equipment (Semi trucks)</t>
        </is>
      </c>
    </row>
    <row r="157">
      <c r="A157" s="6" t="inlineStr">
        <is>
          <t>Amortization: Full amortization schedule below starting from Dec 2025</t>
        </is>
      </c>
    </row>
    <row r="160">
      <c r="A160" s="84" t="inlineStr">
        <is>
          <t>Month #</t>
        </is>
      </c>
      <c r="B160" s="84" t="inlineStr">
        <is>
          <t>Date</t>
        </is>
      </c>
      <c r="C160" s="84" t="inlineStr">
        <is>
          <t>Opening Balance</t>
        </is>
      </c>
      <c r="D160" s="84" t="inlineStr">
        <is>
          <t>Interest</t>
        </is>
      </c>
      <c r="E160" s="84" t="inlineStr">
        <is>
          <t>Principal</t>
        </is>
      </c>
      <c r="F160" s="84" t="inlineStr">
        <is>
          <t>Closing Balance</t>
        </is>
      </c>
    </row>
    <row r="161">
      <c r="A161" s="34" t="n">
        <v>1</v>
      </c>
      <c r="B161" s="34" t="inlineStr">
        <is>
          <t>2025-12-01</t>
        </is>
      </c>
      <c r="C161" s="86">
        <f>B147</f>
        <v/>
      </c>
      <c r="D161" s="11">
        <f>MAX(0,C161*B148/12)</f>
        <v/>
      </c>
      <c r="E161" s="11">
        <f>MAX(0,MIN(C161,B149-D161))</f>
        <v/>
      </c>
      <c r="F161" s="11">
        <f>MAX(0,C161-E161)</f>
        <v/>
      </c>
    </row>
    <row r="162">
      <c r="A162" s="34" t="n">
        <v>2</v>
      </c>
      <c r="B162" s="34" t="inlineStr">
        <is>
          <t>2026-01-01</t>
        </is>
      </c>
      <c r="C162" s="86">
        <f>F161</f>
        <v/>
      </c>
      <c r="D162" s="11">
        <f>MAX(0,C162*B148/12)</f>
        <v/>
      </c>
      <c r="E162" s="11">
        <f>MAX(0,MIN(C162,B149-D162))</f>
        <v/>
      </c>
      <c r="F162" s="11">
        <f>MAX(0,C162-E162)</f>
        <v/>
      </c>
    </row>
    <row r="163">
      <c r="A163" s="34" t="n">
        <v>3</v>
      </c>
      <c r="B163" s="34" t="inlineStr">
        <is>
          <t>2026-02-01</t>
        </is>
      </c>
      <c r="C163" s="86">
        <f>F162</f>
        <v/>
      </c>
      <c r="D163" s="11">
        <f>MAX(0,C163*B148/12)</f>
        <v/>
      </c>
      <c r="E163" s="11">
        <f>MAX(0,MIN(C163,B149-D163))</f>
        <v/>
      </c>
      <c r="F163" s="11">
        <f>MAX(0,C163-E163)</f>
        <v/>
      </c>
    </row>
    <row r="164">
      <c r="A164" s="34" t="n">
        <v>4</v>
      </c>
      <c r="B164" s="34" t="inlineStr">
        <is>
          <t>2026-03-01</t>
        </is>
      </c>
      <c r="C164" s="86">
        <f>F163</f>
        <v/>
      </c>
      <c r="D164" s="11">
        <f>MAX(0,C164*B148/12)</f>
        <v/>
      </c>
      <c r="E164" s="11">
        <f>MAX(0,MIN(C164,B149-D164))</f>
        <v/>
      </c>
      <c r="F164" s="11">
        <f>MAX(0,C164-E164)</f>
        <v/>
      </c>
    </row>
    <row r="165">
      <c r="A165" s="34" t="n">
        <v>5</v>
      </c>
      <c r="B165" s="34" t="inlineStr">
        <is>
          <t>2026-04-01</t>
        </is>
      </c>
      <c r="C165" s="86">
        <f>F164</f>
        <v/>
      </c>
      <c r="D165" s="11">
        <f>MAX(0,C165*B148/12)</f>
        <v/>
      </c>
      <c r="E165" s="11">
        <f>MAX(0,MIN(C165,B149-D165))</f>
        <v/>
      </c>
      <c r="F165" s="11">
        <f>MAX(0,C165-E165)</f>
        <v/>
      </c>
    </row>
    <row r="166">
      <c r="A166" s="34" t="n">
        <v>6</v>
      </c>
      <c r="B166" s="34" t="inlineStr">
        <is>
          <t>2026-05-01</t>
        </is>
      </c>
      <c r="C166" s="86">
        <f>F165</f>
        <v/>
      </c>
      <c r="D166" s="11">
        <f>MAX(0,C166*B148/12)</f>
        <v/>
      </c>
      <c r="E166" s="11">
        <f>MAX(0,MIN(C166,B149-D166))</f>
        <v/>
      </c>
      <c r="F166" s="11">
        <f>MAX(0,C166-E166)</f>
        <v/>
      </c>
    </row>
    <row r="167">
      <c r="A167" s="34" t="n">
        <v>7</v>
      </c>
      <c r="B167" s="34" t="inlineStr">
        <is>
          <t>2026-06-01</t>
        </is>
      </c>
      <c r="C167" s="86">
        <f>F166</f>
        <v/>
      </c>
      <c r="D167" s="11">
        <f>MAX(0,C167*B148/12)</f>
        <v/>
      </c>
      <c r="E167" s="11">
        <f>MAX(0,MIN(C167,B149-D167))</f>
        <v/>
      </c>
      <c r="F167" s="11">
        <f>MAX(0,C167-E167)</f>
        <v/>
      </c>
    </row>
    <row r="168">
      <c r="A168" s="34" t="n">
        <v>8</v>
      </c>
      <c r="B168" s="34" t="inlineStr">
        <is>
          <t>2026-07-01</t>
        </is>
      </c>
      <c r="C168" s="86">
        <f>F167</f>
        <v/>
      </c>
      <c r="D168" s="11">
        <f>MAX(0,C168*B148/12)</f>
        <v/>
      </c>
      <c r="E168" s="11">
        <f>MAX(0,MIN(C168,B149-D168))</f>
        <v/>
      </c>
      <c r="F168" s="11">
        <f>MAX(0,C168-E168)</f>
        <v/>
      </c>
    </row>
    <row r="169">
      <c r="A169" s="34" t="n">
        <v>9</v>
      </c>
      <c r="B169" s="34" t="inlineStr">
        <is>
          <t>2026-08-01</t>
        </is>
      </c>
      <c r="C169" s="86">
        <f>F168</f>
        <v/>
      </c>
      <c r="D169" s="11">
        <f>MAX(0,C169*B148/12)</f>
        <v/>
      </c>
      <c r="E169" s="11">
        <f>MAX(0,MIN(C169,B149-D169))</f>
        <v/>
      </c>
      <c r="F169" s="11">
        <f>MAX(0,C169-E169)</f>
        <v/>
      </c>
    </row>
    <row r="170">
      <c r="A170" s="34" t="n">
        <v>10</v>
      </c>
      <c r="B170" s="34" t="inlineStr">
        <is>
          <t>2026-09-01</t>
        </is>
      </c>
      <c r="C170" s="86">
        <f>F169</f>
        <v/>
      </c>
      <c r="D170" s="11">
        <f>MAX(0,C170*B148/12)</f>
        <v/>
      </c>
      <c r="E170" s="11">
        <f>MAX(0,MIN(C170,B149-D170))</f>
        <v/>
      </c>
      <c r="F170" s="11">
        <f>MAX(0,C170-E170)</f>
        <v/>
      </c>
    </row>
    <row r="171">
      <c r="A171" s="34" t="n">
        <v>11</v>
      </c>
      <c r="B171" s="34" t="inlineStr">
        <is>
          <t>2026-10-01</t>
        </is>
      </c>
      <c r="C171" s="86">
        <f>F170</f>
        <v/>
      </c>
      <c r="D171" s="11">
        <f>MAX(0,C171*B148/12)</f>
        <v/>
      </c>
      <c r="E171" s="11">
        <f>MAX(0,MIN(C171,B149-D171))</f>
        <v/>
      </c>
      <c r="F171" s="11">
        <f>MAX(0,C171-E171)</f>
        <v/>
      </c>
    </row>
    <row r="172">
      <c r="A172" s="34" t="n">
        <v>12</v>
      </c>
      <c r="B172" s="34" t="inlineStr">
        <is>
          <t>2026-11-01</t>
        </is>
      </c>
      <c r="C172" s="86">
        <f>F171</f>
        <v/>
      </c>
      <c r="D172" s="11">
        <f>MAX(0,C172*B148/12)</f>
        <v/>
      </c>
      <c r="E172" s="11">
        <f>MAX(0,MIN(C172,B149-D172))</f>
        <v/>
      </c>
      <c r="F172" s="11">
        <f>MAX(0,C172-E172)</f>
        <v/>
      </c>
    </row>
    <row r="173">
      <c r="A173" s="34" t="n">
        <v>13</v>
      </c>
      <c r="B173" s="34" t="inlineStr">
        <is>
          <t>2026-12-01</t>
        </is>
      </c>
      <c r="C173" s="86">
        <f>F172</f>
        <v/>
      </c>
      <c r="D173" s="11">
        <f>MAX(0,C173*B148/12)</f>
        <v/>
      </c>
      <c r="E173" s="11">
        <f>MAX(0,MIN(C173,B149-D173))</f>
        <v/>
      </c>
      <c r="F173" s="11">
        <f>MAX(0,C173-E173)</f>
        <v/>
      </c>
    </row>
    <row r="174">
      <c r="A174" s="34" t="n">
        <v>14</v>
      </c>
      <c r="B174" s="34" t="inlineStr">
        <is>
          <t>2027-01-01</t>
        </is>
      </c>
      <c r="C174" s="86">
        <f>F173</f>
        <v/>
      </c>
      <c r="D174" s="11">
        <f>MAX(0,C174*B148/12)</f>
        <v/>
      </c>
      <c r="E174" s="11">
        <f>MAX(0,MIN(C174,B149-D174))</f>
        <v/>
      </c>
      <c r="F174" s="11">
        <f>MAX(0,C174-E174)</f>
        <v/>
      </c>
    </row>
    <row r="175">
      <c r="A175" s="34" t="n">
        <v>15</v>
      </c>
      <c r="B175" s="34" t="inlineStr">
        <is>
          <t>2027-02-01</t>
        </is>
      </c>
      <c r="C175" s="86">
        <f>F174</f>
        <v/>
      </c>
      <c r="D175" s="11">
        <f>MAX(0,C175*B148/12)</f>
        <v/>
      </c>
      <c r="E175" s="11">
        <f>MAX(0,MIN(C175,B149-D175))</f>
        <v/>
      </c>
      <c r="F175" s="11">
        <f>MAX(0,C175-E175)</f>
        <v/>
      </c>
    </row>
    <row r="176">
      <c r="A176" s="34" t="n">
        <v>16</v>
      </c>
      <c r="B176" s="34" t="inlineStr">
        <is>
          <t>2027-03-01</t>
        </is>
      </c>
      <c r="C176" s="86">
        <f>F175</f>
        <v/>
      </c>
      <c r="D176" s="11">
        <f>MAX(0,C176*B148/12)</f>
        <v/>
      </c>
      <c r="E176" s="11">
        <f>MAX(0,MIN(C176,B149-D176))</f>
        <v/>
      </c>
      <c r="F176" s="11">
        <f>MAX(0,C176-E176)</f>
        <v/>
      </c>
    </row>
    <row r="177">
      <c r="A177" s="34" t="n">
        <v>17</v>
      </c>
      <c r="B177" s="34" t="inlineStr">
        <is>
          <t>2027-04-01</t>
        </is>
      </c>
      <c r="C177" s="86">
        <f>F176</f>
        <v/>
      </c>
      <c r="D177" s="11">
        <f>MAX(0,C177*B148/12)</f>
        <v/>
      </c>
      <c r="E177" s="11">
        <f>MAX(0,MIN(C177,B149-D177))</f>
        <v/>
      </c>
      <c r="F177" s="11">
        <f>MAX(0,C177-E177)</f>
        <v/>
      </c>
    </row>
    <row r="178">
      <c r="A178" s="34" t="n">
        <v>18</v>
      </c>
      <c r="B178" s="34" t="inlineStr">
        <is>
          <t>2027-05-01</t>
        </is>
      </c>
      <c r="C178" s="86">
        <f>F177</f>
        <v/>
      </c>
      <c r="D178" s="11">
        <f>MAX(0,C178*B148/12)</f>
        <v/>
      </c>
      <c r="E178" s="11">
        <f>MAX(0,MIN(C178,B149-D178))</f>
        <v/>
      </c>
      <c r="F178" s="11">
        <f>MAX(0,C178-E178)</f>
        <v/>
      </c>
    </row>
    <row r="179">
      <c r="A179" s="34" t="n">
        <v>19</v>
      </c>
      <c r="B179" s="34" t="inlineStr">
        <is>
          <t>2027-06-01</t>
        </is>
      </c>
      <c r="C179" s="86">
        <f>F178</f>
        <v/>
      </c>
      <c r="D179" s="11">
        <f>MAX(0,C179*B148/12)</f>
        <v/>
      </c>
      <c r="E179" s="11">
        <f>MAX(0,MIN(C179,B149-D179))</f>
        <v/>
      </c>
      <c r="F179" s="11">
        <f>MAX(0,C179-E179)</f>
        <v/>
      </c>
    </row>
    <row r="180">
      <c r="A180" s="34" t="n">
        <v>20</v>
      </c>
      <c r="B180" s="34" t="inlineStr">
        <is>
          <t>2027-07-01</t>
        </is>
      </c>
      <c r="C180" s="86">
        <f>F179</f>
        <v/>
      </c>
      <c r="D180" s="11">
        <f>MAX(0,C180*B148/12)</f>
        <v/>
      </c>
      <c r="E180" s="11">
        <f>MAX(0,MIN(C180,B149-D180))</f>
        <v/>
      </c>
      <c r="F180" s="11">
        <f>MAX(0,C180-E180)</f>
        <v/>
      </c>
    </row>
    <row r="181">
      <c r="A181" s="34" t="n">
        <v>21</v>
      </c>
      <c r="B181" s="34" t="inlineStr">
        <is>
          <t>2027-08-01</t>
        </is>
      </c>
      <c r="C181" s="86">
        <f>F180</f>
        <v/>
      </c>
      <c r="D181" s="11">
        <f>MAX(0,C181*B148/12)</f>
        <v/>
      </c>
      <c r="E181" s="11">
        <f>MAX(0,MIN(C181,B149-D181))</f>
        <v/>
      </c>
      <c r="F181" s="11">
        <f>MAX(0,C181-E181)</f>
        <v/>
      </c>
    </row>
    <row r="182">
      <c r="A182" s="34" t="n">
        <v>22</v>
      </c>
      <c r="B182" s="34" t="inlineStr">
        <is>
          <t>2027-09-01</t>
        </is>
      </c>
      <c r="C182" s="86">
        <f>F181</f>
        <v/>
      </c>
      <c r="D182" s="11">
        <f>MAX(0,C182*B148/12)</f>
        <v/>
      </c>
      <c r="E182" s="11">
        <f>MAX(0,MIN(C182,B149-D182))</f>
        <v/>
      </c>
      <c r="F182" s="11">
        <f>MAX(0,C182-E182)</f>
        <v/>
      </c>
    </row>
    <row r="183">
      <c r="A183" s="34" t="n">
        <v>23</v>
      </c>
      <c r="B183" s="34" t="inlineStr">
        <is>
          <t>2027-10-01</t>
        </is>
      </c>
      <c r="C183" s="86">
        <f>F182</f>
        <v/>
      </c>
      <c r="D183" s="11">
        <f>MAX(0,C183*B148/12)</f>
        <v/>
      </c>
      <c r="E183" s="11">
        <f>MAX(0,MIN(C183,B149-D183))</f>
        <v/>
      </c>
      <c r="F183" s="11">
        <f>MAX(0,C183-E183)</f>
        <v/>
      </c>
    </row>
    <row r="184">
      <c r="A184" s="34" t="n">
        <v>24</v>
      </c>
      <c r="B184" s="34" t="inlineStr">
        <is>
          <t>2027-11-01</t>
        </is>
      </c>
      <c r="C184" s="86">
        <f>F183</f>
        <v/>
      </c>
      <c r="D184" s="11">
        <f>MAX(0,C184*B148/12)</f>
        <v/>
      </c>
      <c r="E184" s="11">
        <f>MAX(0,MIN(C184,B149-D184))</f>
        <v/>
      </c>
      <c r="F184" s="11">
        <f>MAX(0,C184-E184)</f>
        <v/>
      </c>
    </row>
    <row r="185">
      <c r="A185" s="34" t="n">
        <v>25</v>
      </c>
      <c r="B185" s="34" t="inlineStr">
        <is>
          <t>2027-12-01</t>
        </is>
      </c>
      <c r="C185" s="86">
        <f>F184</f>
        <v/>
      </c>
      <c r="D185" s="11">
        <f>MAX(0,C185*B148/12)</f>
        <v/>
      </c>
      <c r="E185" s="11">
        <f>MAX(0,MIN(C185,B149-D185))</f>
        <v/>
      </c>
      <c r="F185" s="11">
        <f>MAX(0,C185-E185)</f>
        <v/>
      </c>
    </row>
    <row r="186">
      <c r="A186" s="34" t="n">
        <v>26</v>
      </c>
      <c r="B186" s="34" t="inlineStr">
        <is>
          <t>2028-01-01</t>
        </is>
      </c>
      <c r="C186" s="86">
        <f>F185</f>
        <v/>
      </c>
      <c r="D186" s="11">
        <f>MAX(0,C186*B148/12)</f>
        <v/>
      </c>
      <c r="E186" s="11">
        <f>MAX(0,MIN(C186,B149-D186))</f>
        <v/>
      </c>
      <c r="F186" s="11">
        <f>MAX(0,C186-E186)</f>
        <v/>
      </c>
    </row>
    <row r="187">
      <c r="A187" s="34" t="n">
        <v>27</v>
      </c>
      <c r="B187" s="34" t="inlineStr">
        <is>
          <t>2028-02-01</t>
        </is>
      </c>
      <c r="C187" s="86">
        <f>F186</f>
        <v/>
      </c>
      <c r="D187" s="11">
        <f>MAX(0,C187*B148/12)</f>
        <v/>
      </c>
      <c r="E187" s="11">
        <f>MAX(0,MIN(C187,B149-D187))</f>
        <v/>
      </c>
      <c r="F187" s="11">
        <f>MAX(0,C187-E187)</f>
        <v/>
      </c>
    </row>
    <row r="188">
      <c r="A188" s="34" t="n">
        <v>28</v>
      </c>
      <c r="B188" s="34" t="inlineStr">
        <is>
          <t>2028-03-01</t>
        </is>
      </c>
      <c r="C188" s="86">
        <f>F187</f>
        <v/>
      </c>
      <c r="D188" s="11">
        <f>MAX(0,C188*B148/12)</f>
        <v/>
      </c>
      <c r="E188" s="11">
        <f>MAX(0,MIN(C188,B149-D188))</f>
        <v/>
      </c>
      <c r="F188" s="11">
        <f>MAX(0,C188-E188)</f>
        <v/>
      </c>
    </row>
    <row r="189">
      <c r="A189" s="34" t="n">
        <v>29</v>
      </c>
      <c r="B189" s="34" t="inlineStr">
        <is>
          <t>2028-04-01</t>
        </is>
      </c>
      <c r="C189" s="86">
        <f>F188</f>
        <v/>
      </c>
      <c r="D189" s="11">
        <f>MAX(0,C189*B148/12)</f>
        <v/>
      </c>
      <c r="E189" s="11">
        <f>MAX(0,MIN(C189,B149-D189))</f>
        <v/>
      </c>
      <c r="F189" s="11">
        <f>MAX(0,C189-E189)</f>
        <v/>
      </c>
    </row>
    <row r="190">
      <c r="A190" s="34" t="n">
        <v>30</v>
      </c>
      <c r="B190" s="34" t="inlineStr">
        <is>
          <t>2028-05-01</t>
        </is>
      </c>
      <c r="C190" s="86">
        <f>F189</f>
        <v/>
      </c>
      <c r="D190" s="11">
        <f>MAX(0,C190*B148/12)</f>
        <v/>
      </c>
      <c r="E190" s="11">
        <f>MAX(0,MIN(C190,B149-D190))</f>
        <v/>
      </c>
      <c r="F190" s="11">
        <f>MAX(0,C190-E190)</f>
        <v/>
      </c>
    </row>
    <row r="191">
      <c r="A191" s="34" t="n">
        <v>31</v>
      </c>
      <c r="B191" s="34" t="inlineStr">
        <is>
          <t>2028-06-01</t>
        </is>
      </c>
      <c r="C191" s="86">
        <f>F190</f>
        <v/>
      </c>
      <c r="D191" s="11">
        <f>MAX(0,C191*B148/12)</f>
        <v/>
      </c>
      <c r="E191" s="11">
        <f>MAX(0,MIN(C191,B149-D191))</f>
        <v/>
      </c>
      <c r="F191" s="11">
        <f>MAX(0,C191-E191)</f>
        <v/>
      </c>
    </row>
    <row r="192">
      <c r="A192" s="34" t="n">
        <v>32</v>
      </c>
      <c r="B192" s="34" t="inlineStr">
        <is>
          <t>2028-07-01</t>
        </is>
      </c>
      <c r="C192" s="86">
        <f>F191</f>
        <v/>
      </c>
      <c r="D192" s="11">
        <f>MAX(0,C192*B148/12)</f>
        <v/>
      </c>
      <c r="E192" s="11">
        <f>MAX(0,MIN(C192,B149-D192))</f>
        <v/>
      </c>
      <c r="F192" s="11">
        <f>MAX(0,C192-E192)</f>
        <v/>
      </c>
    </row>
    <row r="193">
      <c r="A193" s="34" t="n">
        <v>33</v>
      </c>
      <c r="B193" s="34" t="inlineStr">
        <is>
          <t>2028-08-01</t>
        </is>
      </c>
      <c r="C193" s="86">
        <f>F192</f>
        <v/>
      </c>
      <c r="D193" s="11">
        <f>MAX(0,C193*B148/12)</f>
        <v/>
      </c>
      <c r="E193" s="11">
        <f>MAX(0,MIN(C193,B149-D193))</f>
        <v/>
      </c>
      <c r="F193" s="11">
        <f>MAX(0,C193-E193)</f>
        <v/>
      </c>
    </row>
    <row r="194">
      <c r="A194" s="34" t="n">
        <v>34</v>
      </c>
      <c r="B194" s="34" t="inlineStr">
        <is>
          <t>2028-09-01</t>
        </is>
      </c>
      <c r="C194" s="86">
        <f>F193</f>
        <v/>
      </c>
      <c r="D194" s="11">
        <f>MAX(0,C194*B148/12)</f>
        <v/>
      </c>
      <c r="E194" s="11">
        <f>MAX(0,MIN(C194,B149-D194))</f>
        <v/>
      </c>
      <c r="F194" s="11">
        <f>MAX(0,C194-E194)</f>
        <v/>
      </c>
    </row>
    <row r="195">
      <c r="A195" s="41" t="inlineStr">
        <is>
          <t>TOTAL</t>
        </is>
      </c>
      <c r="B195" s="34" t="inlineStr"/>
      <c r="C195" s="34" t="inlineStr"/>
      <c r="D195" s="42">
        <f>SUM(D161:D194)</f>
        <v/>
      </c>
      <c r="E195" s="42">
        <f>SUM(E161:E194)</f>
        <v/>
      </c>
      <c r="F195" s="34" t="inlineStr"/>
    </row>
    <row r="199">
      <c r="A199" s="15" t="inlineStr">
        <is>
          <t>LOAN 4: 2 Peterbilt 579 (Feb 2023)</t>
        </is>
      </c>
    </row>
    <row r="201">
      <c r="A201" t="inlineStr">
        <is>
          <t>Loan ID:</t>
        </is>
      </c>
      <c r="B201" t="inlineStr">
        <is>
          <t>05-2985-003-000-00</t>
        </is>
      </c>
    </row>
    <row r="202">
      <c r="A202" t="inlineStr">
        <is>
          <t>Description:</t>
        </is>
      </c>
      <c r="B202" t="inlineStr">
        <is>
          <t>2 Peterbilt 579 (Feb 2023)</t>
        </is>
      </c>
    </row>
    <row r="203">
      <c r="A203" t="inlineStr">
        <is>
          <t>Origination Date:</t>
        </is>
      </c>
      <c r="B203" t="inlineStr">
        <is>
          <t>2023-02-24</t>
        </is>
      </c>
    </row>
    <row r="204">
      <c r="A204" t="inlineStr">
        <is>
          <t>Maturity Date:</t>
        </is>
      </c>
      <c r="B204" t="inlineStr">
        <is>
          <t>2028-09-01</t>
        </is>
      </c>
    </row>
    <row r="205">
      <c r="A205" t="inlineStr">
        <is>
          <t>Opening Balance:</t>
        </is>
      </c>
      <c r="B205" s="3" t="n">
        <v>406642.8</v>
      </c>
    </row>
    <row r="206">
      <c r="A206" t="inlineStr">
        <is>
          <t>Remaining Balance (Nov 2025):</t>
        </is>
      </c>
      <c r="B206" s="3" t="n">
        <v>226157</v>
      </c>
    </row>
    <row r="207">
      <c r="A207" t="inlineStr">
        <is>
          <t>Annual Interest Rate:</t>
        </is>
      </c>
      <c r="B207" s="4" t="n">
        <v>0.0585</v>
      </c>
    </row>
    <row r="208">
      <c r="A208" t="inlineStr">
        <is>
          <t>Monthly Payment:</t>
        </is>
      </c>
      <c r="B208" s="3" t="n">
        <v>7228.56</v>
      </c>
    </row>
    <row r="209">
      <c r="A209" t="inlineStr">
        <is>
          <t>Loan Type:</t>
        </is>
      </c>
      <c r="B209" t="inlineStr">
        <is>
          <t>AMORTIZING</t>
        </is>
      </c>
    </row>
    <row r="210">
      <c r="A210" t="inlineStr">
        <is>
          <t>Use:</t>
        </is>
      </c>
      <c r="B210" t="inlineStr">
        <is>
          <t>Equipment (Semi trucks)</t>
        </is>
      </c>
    </row>
    <row r="212">
      <c r="A212" s="17" t="inlineStr">
        <is>
          <t>AI ANALYSIS</t>
        </is>
      </c>
    </row>
    <row r="213">
      <c r="A213" s="6" t="inlineStr">
        <is>
          <t>Loan Type Classification: AMORTIZING - Standard principal and interest payments</t>
        </is>
      </c>
    </row>
    <row r="214">
      <c r="A214" s="6" t="inlineStr">
        <is>
          <t>Months Remaining: 34 (from Nov 2025 to maturity)</t>
        </is>
      </c>
    </row>
    <row r="215">
      <c r="A215" s="6" t="inlineStr">
        <is>
          <t>Equipment Financed: Equipment (Semi trucks)</t>
        </is>
      </c>
    </row>
    <row r="216">
      <c r="A216" s="6" t="inlineStr">
        <is>
          <t>Amortization: Full amortization schedule below starting from Dec 2025</t>
        </is>
      </c>
    </row>
    <row r="219">
      <c r="A219" s="84" t="inlineStr">
        <is>
          <t>Month #</t>
        </is>
      </c>
      <c r="B219" s="84" t="inlineStr">
        <is>
          <t>Date</t>
        </is>
      </c>
      <c r="C219" s="84" t="inlineStr">
        <is>
          <t>Opening Balance</t>
        </is>
      </c>
      <c r="D219" s="84" t="inlineStr">
        <is>
          <t>Interest</t>
        </is>
      </c>
      <c r="E219" s="84" t="inlineStr">
        <is>
          <t>Principal</t>
        </is>
      </c>
      <c r="F219" s="84" t="inlineStr">
        <is>
          <t>Closing Balance</t>
        </is>
      </c>
    </row>
    <row r="220">
      <c r="A220" s="34" t="n">
        <v>1</v>
      </c>
      <c r="B220" s="34" t="inlineStr">
        <is>
          <t>2025-12-01</t>
        </is>
      </c>
      <c r="C220" s="86">
        <f>B206</f>
        <v/>
      </c>
      <c r="D220" s="11">
        <f>MAX(0,C220*B207/12)</f>
        <v/>
      </c>
      <c r="E220" s="11">
        <f>MAX(0,MIN(C220,B208-D220))</f>
        <v/>
      </c>
      <c r="F220" s="11">
        <f>MAX(0,C220-E220)</f>
        <v/>
      </c>
    </row>
    <row r="221">
      <c r="A221" s="34" t="n">
        <v>2</v>
      </c>
      <c r="B221" s="34" t="inlineStr">
        <is>
          <t>2026-01-01</t>
        </is>
      </c>
      <c r="C221" s="86">
        <f>F220</f>
        <v/>
      </c>
      <c r="D221" s="11">
        <f>MAX(0,C221*B207/12)</f>
        <v/>
      </c>
      <c r="E221" s="11">
        <f>MAX(0,MIN(C221,B208-D221))</f>
        <v/>
      </c>
      <c r="F221" s="11">
        <f>MAX(0,C221-E221)</f>
        <v/>
      </c>
    </row>
    <row r="222">
      <c r="A222" s="34" t="n">
        <v>3</v>
      </c>
      <c r="B222" s="34" t="inlineStr">
        <is>
          <t>2026-02-01</t>
        </is>
      </c>
      <c r="C222" s="86">
        <f>F221</f>
        <v/>
      </c>
      <c r="D222" s="11">
        <f>MAX(0,C222*B207/12)</f>
        <v/>
      </c>
      <c r="E222" s="11">
        <f>MAX(0,MIN(C222,B208-D222))</f>
        <v/>
      </c>
      <c r="F222" s="11">
        <f>MAX(0,C222-E222)</f>
        <v/>
      </c>
    </row>
    <row r="223">
      <c r="A223" s="34" t="n">
        <v>4</v>
      </c>
      <c r="B223" s="34" t="inlineStr">
        <is>
          <t>2026-03-01</t>
        </is>
      </c>
      <c r="C223" s="86">
        <f>F222</f>
        <v/>
      </c>
      <c r="D223" s="11">
        <f>MAX(0,C223*B207/12)</f>
        <v/>
      </c>
      <c r="E223" s="11">
        <f>MAX(0,MIN(C223,B208-D223))</f>
        <v/>
      </c>
      <c r="F223" s="11">
        <f>MAX(0,C223-E223)</f>
        <v/>
      </c>
    </row>
    <row r="224">
      <c r="A224" s="34" t="n">
        <v>5</v>
      </c>
      <c r="B224" s="34" t="inlineStr">
        <is>
          <t>2026-04-01</t>
        </is>
      </c>
      <c r="C224" s="86">
        <f>F223</f>
        <v/>
      </c>
      <c r="D224" s="11">
        <f>MAX(0,C224*B207/12)</f>
        <v/>
      </c>
      <c r="E224" s="11">
        <f>MAX(0,MIN(C224,B208-D224))</f>
        <v/>
      </c>
      <c r="F224" s="11">
        <f>MAX(0,C224-E224)</f>
        <v/>
      </c>
    </row>
    <row r="225">
      <c r="A225" s="34" t="n">
        <v>6</v>
      </c>
      <c r="B225" s="34" t="inlineStr">
        <is>
          <t>2026-05-01</t>
        </is>
      </c>
      <c r="C225" s="86">
        <f>F224</f>
        <v/>
      </c>
      <c r="D225" s="11">
        <f>MAX(0,C225*B207/12)</f>
        <v/>
      </c>
      <c r="E225" s="11">
        <f>MAX(0,MIN(C225,B208-D225))</f>
        <v/>
      </c>
      <c r="F225" s="11">
        <f>MAX(0,C225-E225)</f>
        <v/>
      </c>
    </row>
    <row r="226">
      <c r="A226" s="34" t="n">
        <v>7</v>
      </c>
      <c r="B226" s="34" t="inlineStr">
        <is>
          <t>2026-06-01</t>
        </is>
      </c>
      <c r="C226" s="86">
        <f>F225</f>
        <v/>
      </c>
      <c r="D226" s="11">
        <f>MAX(0,C226*B207/12)</f>
        <v/>
      </c>
      <c r="E226" s="11">
        <f>MAX(0,MIN(C226,B208-D226))</f>
        <v/>
      </c>
      <c r="F226" s="11">
        <f>MAX(0,C226-E226)</f>
        <v/>
      </c>
    </row>
    <row r="227">
      <c r="A227" s="34" t="n">
        <v>8</v>
      </c>
      <c r="B227" s="34" t="inlineStr">
        <is>
          <t>2026-07-01</t>
        </is>
      </c>
      <c r="C227" s="86">
        <f>F226</f>
        <v/>
      </c>
      <c r="D227" s="11">
        <f>MAX(0,C227*B207/12)</f>
        <v/>
      </c>
      <c r="E227" s="11">
        <f>MAX(0,MIN(C227,B208-D227))</f>
        <v/>
      </c>
      <c r="F227" s="11">
        <f>MAX(0,C227-E227)</f>
        <v/>
      </c>
    </row>
    <row r="228">
      <c r="A228" s="34" t="n">
        <v>9</v>
      </c>
      <c r="B228" s="34" t="inlineStr">
        <is>
          <t>2026-08-01</t>
        </is>
      </c>
      <c r="C228" s="86">
        <f>F227</f>
        <v/>
      </c>
      <c r="D228" s="11">
        <f>MAX(0,C228*B207/12)</f>
        <v/>
      </c>
      <c r="E228" s="11">
        <f>MAX(0,MIN(C228,B208-D228))</f>
        <v/>
      </c>
      <c r="F228" s="11">
        <f>MAX(0,C228-E228)</f>
        <v/>
      </c>
    </row>
    <row r="229">
      <c r="A229" s="34" t="n">
        <v>10</v>
      </c>
      <c r="B229" s="34" t="inlineStr">
        <is>
          <t>2026-09-01</t>
        </is>
      </c>
      <c r="C229" s="86">
        <f>F228</f>
        <v/>
      </c>
      <c r="D229" s="11">
        <f>MAX(0,C229*B207/12)</f>
        <v/>
      </c>
      <c r="E229" s="11">
        <f>MAX(0,MIN(C229,B208-D229))</f>
        <v/>
      </c>
      <c r="F229" s="11">
        <f>MAX(0,C229-E229)</f>
        <v/>
      </c>
    </row>
    <row r="230">
      <c r="A230" s="34" t="n">
        <v>11</v>
      </c>
      <c r="B230" s="34" t="inlineStr">
        <is>
          <t>2026-10-01</t>
        </is>
      </c>
      <c r="C230" s="86">
        <f>F229</f>
        <v/>
      </c>
      <c r="D230" s="11">
        <f>MAX(0,C230*B207/12)</f>
        <v/>
      </c>
      <c r="E230" s="11">
        <f>MAX(0,MIN(C230,B208-D230))</f>
        <v/>
      </c>
      <c r="F230" s="11">
        <f>MAX(0,C230-E230)</f>
        <v/>
      </c>
    </row>
    <row r="231">
      <c r="A231" s="34" t="n">
        <v>12</v>
      </c>
      <c r="B231" s="34" t="inlineStr">
        <is>
          <t>2026-11-01</t>
        </is>
      </c>
      <c r="C231" s="86">
        <f>F230</f>
        <v/>
      </c>
      <c r="D231" s="11">
        <f>MAX(0,C231*B207/12)</f>
        <v/>
      </c>
      <c r="E231" s="11">
        <f>MAX(0,MIN(C231,B208-D231))</f>
        <v/>
      </c>
      <c r="F231" s="11">
        <f>MAX(0,C231-E231)</f>
        <v/>
      </c>
    </row>
    <row r="232">
      <c r="A232" s="34" t="n">
        <v>13</v>
      </c>
      <c r="B232" s="34" t="inlineStr">
        <is>
          <t>2026-12-01</t>
        </is>
      </c>
      <c r="C232" s="86">
        <f>F231</f>
        <v/>
      </c>
      <c r="D232" s="11">
        <f>MAX(0,C232*B207/12)</f>
        <v/>
      </c>
      <c r="E232" s="11">
        <f>MAX(0,MIN(C232,B208-D232))</f>
        <v/>
      </c>
      <c r="F232" s="11">
        <f>MAX(0,C232-E232)</f>
        <v/>
      </c>
    </row>
    <row r="233">
      <c r="A233" s="34" t="n">
        <v>14</v>
      </c>
      <c r="B233" s="34" t="inlineStr">
        <is>
          <t>2027-01-01</t>
        </is>
      </c>
      <c r="C233" s="86">
        <f>F232</f>
        <v/>
      </c>
      <c r="D233" s="11">
        <f>MAX(0,C233*B207/12)</f>
        <v/>
      </c>
      <c r="E233" s="11">
        <f>MAX(0,MIN(C233,B208-D233))</f>
        <v/>
      </c>
      <c r="F233" s="11">
        <f>MAX(0,C233-E233)</f>
        <v/>
      </c>
    </row>
    <row r="234">
      <c r="A234" s="34" t="n">
        <v>15</v>
      </c>
      <c r="B234" s="34" t="inlineStr">
        <is>
          <t>2027-02-01</t>
        </is>
      </c>
      <c r="C234" s="86">
        <f>F233</f>
        <v/>
      </c>
      <c r="D234" s="11">
        <f>MAX(0,C234*B207/12)</f>
        <v/>
      </c>
      <c r="E234" s="11">
        <f>MAX(0,MIN(C234,B208-D234))</f>
        <v/>
      </c>
      <c r="F234" s="11">
        <f>MAX(0,C234-E234)</f>
        <v/>
      </c>
    </row>
    <row r="235">
      <c r="A235" s="34" t="n">
        <v>16</v>
      </c>
      <c r="B235" s="34" t="inlineStr">
        <is>
          <t>2027-03-01</t>
        </is>
      </c>
      <c r="C235" s="86">
        <f>F234</f>
        <v/>
      </c>
      <c r="D235" s="11">
        <f>MAX(0,C235*B207/12)</f>
        <v/>
      </c>
      <c r="E235" s="11">
        <f>MAX(0,MIN(C235,B208-D235))</f>
        <v/>
      </c>
      <c r="F235" s="11">
        <f>MAX(0,C235-E235)</f>
        <v/>
      </c>
    </row>
    <row r="236">
      <c r="A236" s="34" t="n">
        <v>17</v>
      </c>
      <c r="B236" s="34" t="inlineStr">
        <is>
          <t>2027-04-01</t>
        </is>
      </c>
      <c r="C236" s="86">
        <f>F235</f>
        <v/>
      </c>
      <c r="D236" s="11">
        <f>MAX(0,C236*B207/12)</f>
        <v/>
      </c>
      <c r="E236" s="11">
        <f>MAX(0,MIN(C236,B208-D236))</f>
        <v/>
      </c>
      <c r="F236" s="11">
        <f>MAX(0,C236-E236)</f>
        <v/>
      </c>
    </row>
    <row r="237">
      <c r="A237" s="34" t="n">
        <v>18</v>
      </c>
      <c r="B237" s="34" t="inlineStr">
        <is>
          <t>2027-05-01</t>
        </is>
      </c>
      <c r="C237" s="86">
        <f>F236</f>
        <v/>
      </c>
      <c r="D237" s="11">
        <f>MAX(0,C237*B207/12)</f>
        <v/>
      </c>
      <c r="E237" s="11">
        <f>MAX(0,MIN(C237,B208-D237))</f>
        <v/>
      </c>
      <c r="F237" s="11">
        <f>MAX(0,C237-E237)</f>
        <v/>
      </c>
    </row>
    <row r="238">
      <c r="A238" s="34" t="n">
        <v>19</v>
      </c>
      <c r="B238" s="34" t="inlineStr">
        <is>
          <t>2027-06-01</t>
        </is>
      </c>
      <c r="C238" s="86">
        <f>F237</f>
        <v/>
      </c>
      <c r="D238" s="11">
        <f>MAX(0,C238*B207/12)</f>
        <v/>
      </c>
      <c r="E238" s="11">
        <f>MAX(0,MIN(C238,B208-D238))</f>
        <v/>
      </c>
      <c r="F238" s="11">
        <f>MAX(0,C238-E238)</f>
        <v/>
      </c>
    </row>
    <row r="239">
      <c r="A239" s="34" t="n">
        <v>20</v>
      </c>
      <c r="B239" s="34" t="inlineStr">
        <is>
          <t>2027-07-01</t>
        </is>
      </c>
      <c r="C239" s="86">
        <f>F238</f>
        <v/>
      </c>
      <c r="D239" s="11">
        <f>MAX(0,C239*B207/12)</f>
        <v/>
      </c>
      <c r="E239" s="11">
        <f>MAX(0,MIN(C239,B208-D239))</f>
        <v/>
      </c>
      <c r="F239" s="11">
        <f>MAX(0,C239-E239)</f>
        <v/>
      </c>
    </row>
    <row r="240">
      <c r="A240" s="34" t="n">
        <v>21</v>
      </c>
      <c r="B240" s="34" t="inlineStr">
        <is>
          <t>2027-08-01</t>
        </is>
      </c>
      <c r="C240" s="86">
        <f>F239</f>
        <v/>
      </c>
      <c r="D240" s="11">
        <f>MAX(0,C240*B207/12)</f>
        <v/>
      </c>
      <c r="E240" s="11">
        <f>MAX(0,MIN(C240,B208-D240))</f>
        <v/>
      </c>
      <c r="F240" s="11">
        <f>MAX(0,C240-E240)</f>
        <v/>
      </c>
    </row>
    <row r="241">
      <c r="A241" s="34" t="n">
        <v>22</v>
      </c>
      <c r="B241" s="34" t="inlineStr">
        <is>
          <t>2027-09-01</t>
        </is>
      </c>
      <c r="C241" s="86">
        <f>F240</f>
        <v/>
      </c>
      <c r="D241" s="11">
        <f>MAX(0,C241*B207/12)</f>
        <v/>
      </c>
      <c r="E241" s="11">
        <f>MAX(0,MIN(C241,B208-D241))</f>
        <v/>
      </c>
      <c r="F241" s="11">
        <f>MAX(0,C241-E241)</f>
        <v/>
      </c>
    </row>
    <row r="242">
      <c r="A242" s="34" t="n">
        <v>23</v>
      </c>
      <c r="B242" s="34" t="inlineStr">
        <is>
          <t>2027-10-01</t>
        </is>
      </c>
      <c r="C242" s="86">
        <f>F241</f>
        <v/>
      </c>
      <c r="D242" s="11">
        <f>MAX(0,C242*B207/12)</f>
        <v/>
      </c>
      <c r="E242" s="11">
        <f>MAX(0,MIN(C242,B208-D242))</f>
        <v/>
      </c>
      <c r="F242" s="11">
        <f>MAX(0,C242-E242)</f>
        <v/>
      </c>
    </row>
    <row r="243">
      <c r="A243" s="34" t="n">
        <v>24</v>
      </c>
      <c r="B243" s="34" t="inlineStr">
        <is>
          <t>2027-11-01</t>
        </is>
      </c>
      <c r="C243" s="86">
        <f>F242</f>
        <v/>
      </c>
      <c r="D243" s="11">
        <f>MAX(0,C243*B207/12)</f>
        <v/>
      </c>
      <c r="E243" s="11">
        <f>MAX(0,MIN(C243,B208-D243))</f>
        <v/>
      </c>
      <c r="F243" s="11">
        <f>MAX(0,C243-E243)</f>
        <v/>
      </c>
    </row>
    <row r="244">
      <c r="A244" s="34" t="n">
        <v>25</v>
      </c>
      <c r="B244" s="34" t="inlineStr">
        <is>
          <t>2027-12-01</t>
        </is>
      </c>
      <c r="C244" s="86">
        <f>F243</f>
        <v/>
      </c>
      <c r="D244" s="11">
        <f>MAX(0,C244*B207/12)</f>
        <v/>
      </c>
      <c r="E244" s="11">
        <f>MAX(0,MIN(C244,B208-D244))</f>
        <v/>
      </c>
      <c r="F244" s="11">
        <f>MAX(0,C244-E244)</f>
        <v/>
      </c>
    </row>
    <row r="245">
      <c r="A245" s="34" t="n">
        <v>26</v>
      </c>
      <c r="B245" s="34" t="inlineStr">
        <is>
          <t>2028-01-01</t>
        </is>
      </c>
      <c r="C245" s="86">
        <f>F244</f>
        <v/>
      </c>
      <c r="D245" s="11">
        <f>MAX(0,C245*B207/12)</f>
        <v/>
      </c>
      <c r="E245" s="11">
        <f>MAX(0,MIN(C245,B208-D245))</f>
        <v/>
      </c>
      <c r="F245" s="11">
        <f>MAX(0,C245-E245)</f>
        <v/>
      </c>
    </row>
    <row r="246">
      <c r="A246" s="34" t="n">
        <v>27</v>
      </c>
      <c r="B246" s="34" t="inlineStr">
        <is>
          <t>2028-02-01</t>
        </is>
      </c>
      <c r="C246" s="86">
        <f>F245</f>
        <v/>
      </c>
      <c r="D246" s="11">
        <f>MAX(0,C246*B207/12)</f>
        <v/>
      </c>
      <c r="E246" s="11">
        <f>MAX(0,MIN(C246,B208-D246))</f>
        <v/>
      </c>
      <c r="F246" s="11">
        <f>MAX(0,C246-E246)</f>
        <v/>
      </c>
    </row>
    <row r="247">
      <c r="A247" s="34" t="n">
        <v>28</v>
      </c>
      <c r="B247" s="34" t="inlineStr">
        <is>
          <t>2028-03-01</t>
        </is>
      </c>
      <c r="C247" s="86">
        <f>F246</f>
        <v/>
      </c>
      <c r="D247" s="11">
        <f>MAX(0,C247*B207/12)</f>
        <v/>
      </c>
      <c r="E247" s="11">
        <f>MAX(0,MIN(C247,B208-D247))</f>
        <v/>
      </c>
      <c r="F247" s="11">
        <f>MAX(0,C247-E247)</f>
        <v/>
      </c>
    </row>
    <row r="248">
      <c r="A248" s="34" t="n">
        <v>29</v>
      </c>
      <c r="B248" s="34" t="inlineStr">
        <is>
          <t>2028-04-01</t>
        </is>
      </c>
      <c r="C248" s="86">
        <f>F247</f>
        <v/>
      </c>
      <c r="D248" s="11">
        <f>MAX(0,C248*B207/12)</f>
        <v/>
      </c>
      <c r="E248" s="11">
        <f>MAX(0,MIN(C248,B208-D248))</f>
        <v/>
      </c>
      <c r="F248" s="11">
        <f>MAX(0,C248-E248)</f>
        <v/>
      </c>
    </row>
    <row r="249">
      <c r="A249" s="34" t="n">
        <v>30</v>
      </c>
      <c r="B249" s="34" t="inlineStr">
        <is>
          <t>2028-05-01</t>
        </is>
      </c>
      <c r="C249" s="86">
        <f>F248</f>
        <v/>
      </c>
      <c r="D249" s="11">
        <f>MAX(0,C249*B207/12)</f>
        <v/>
      </c>
      <c r="E249" s="11">
        <f>MAX(0,MIN(C249,B208-D249))</f>
        <v/>
      </c>
      <c r="F249" s="11">
        <f>MAX(0,C249-E249)</f>
        <v/>
      </c>
    </row>
    <row r="250">
      <c r="A250" s="34" t="n">
        <v>31</v>
      </c>
      <c r="B250" s="34" t="inlineStr">
        <is>
          <t>2028-06-01</t>
        </is>
      </c>
      <c r="C250" s="86">
        <f>F249</f>
        <v/>
      </c>
      <c r="D250" s="11">
        <f>MAX(0,C250*B207/12)</f>
        <v/>
      </c>
      <c r="E250" s="11">
        <f>MAX(0,MIN(C250,B208-D250))</f>
        <v/>
      </c>
      <c r="F250" s="11">
        <f>MAX(0,C250-E250)</f>
        <v/>
      </c>
    </row>
    <row r="251">
      <c r="A251" s="34" t="n">
        <v>32</v>
      </c>
      <c r="B251" s="34" t="inlineStr">
        <is>
          <t>2028-07-01</t>
        </is>
      </c>
      <c r="C251" s="86">
        <f>F250</f>
        <v/>
      </c>
      <c r="D251" s="11">
        <f>MAX(0,C251*B207/12)</f>
        <v/>
      </c>
      <c r="E251" s="11">
        <f>MAX(0,MIN(C251,B208-D251))</f>
        <v/>
      </c>
      <c r="F251" s="11">
        <f>MAX(0,C251-E251)</f>
        <v/>
      </c>
    </row>
    <row r="252">
      <c r="A252" s="34" t="n">
        <v>33</v>
      </c>
      <c r="B252" s="34" t="inlineStr">
        <is>
          <t>2028-08-01</t>
        </is>
      </c>
      <c r="C252" s="86">
        <f>F251</f>
        <v/>
      </c>
      <c r="D252" s="11">
        <f>MAX(0,C252*B207/12)</f>
        <v/>
      </c>
      <c r="E252" s="11">
        <f>MAX(0,MIN(C252,B208-D252))</f>
        <v/>
      </c>
      <c r="F252" s="11">
        <f>MAX(0,C252-E252)</f>
        <v/>
      </c>
    </row>
    <row r="253">
      <c r="A253" s="34" t="n">
        <v>34</v>
      </c>
      <c r="B253" s="34" t="inlineStr">
        <is>
          <t>2028-09-01</t>
        </is>
      </c>
      <c r="C253" s="86">
        <f>F252</f>
        <v/>
      </c>
      <c r="D253" s="11">
        <f>MAX(0,C253*B207/12)</f>
        <v/>
      </c>
      <c r="E253" s="11">
        <f>MAX(0,MIN(C253,B208-D253))</f>
        <v/>
      </c>
      <c r="F253" s="11">
        <f>MAX(0,C253-E253)</f>
        <v/>
      </c>
    </row>
    <row r="254">
      <c r="A254" s="34" t="n">
        <v>35</v>
      </c>
      <c r="B254" s="34" t="inlineStr">
        <is>
          <t>2028-10-01</t>
        </is>
      </c>
      <c r="C254" s="86">
        <f>F253</f>
        <v/>
      </c>
      <c r="D254" s="11">
        <f>MAX(0,C254*B207/12)</f>
        <v/>
      </c>
      <c r="E254" s="11">
        <f>MAX(0,MIN(C254,B208-D254))</f>
        <v/>
      </c>
      <c r="F254" s="11">
        <f>MAX(0,C254-E254)</f>
        <v/>
      </c>
    </row>
    <row r="255">
      <c r="A255" s="41" t="inlineStr">
        <is>
          <t>TOTAL</t>
        </is>
      </c>
      <c r="B255" s="34" t="inlineStr"/>
      <c r="C255" s="34" t="inlineStr"/>
      <c r="D255" s="42">
        <f>SUM(D220:D254)</f>
        <v/>
      </c>
      <c r="E255" s="42">
        <f>SUM(E220:E254)</f>
        <v/>
      </c>
      <c r="F255" s="34" t="inlineStr"/>
    </row>
    <row r="259">
      <c r="A259" s="15" t="inlineStr">
        <is>
          <t>LOAN 5: 25 Trailers (April 2023)</t>
        </is>
      </c>
    </row>
    <row r="261">
      <c r="A261" t="inlineStr">
        <is>
          <t>Loan ID:</t>
        </is>
      </c>
      <c r="B261" t="inlineStr">
        <is>
          <t>05-2985-004-000-00</t>
        </is>
      </c>
    </row>
    <row r="262">
      <c r="A262" t="inlineStr">
        <is>
          <t>Description:</t>
        </is>
      </c>
      <c r="B262" t="inlineStr">
        <is>
          <t>25 Trailers (April 2023)</t>
        </is>
      </c>
    </row>
    <row r="263">
      <c r="A263" t="inlineStr">
        <is>
          <t>Origination Date:</t>
        </is>
      </c>
      <c r="B263" t="inlineStr">
        <is>
          <t>2023-04-10</t>
        </is>
      </c>
    </row>
    <row r="264">
      <c r="A264" t="inlineStr">
        <is>
          <t>Maturity Date:</t>
        </is>
      </c>
      <c r="B264" t="inlineStr">
        <is>
          <t>2030-04-15</t>
        </is>
      </c>
    </row>
    <row r="265">
      <c r="A265" t="inlineStr">
        <is>
          <t>Opening Balance:</t>
        </is>
      </c>
      <c r="B265" s="3" t="n">
        <v>1557225</v>
      </c>
    </row>
    <row r="266">
      <c r="A266" t="inlineStr">
        <is>
          <t>Remaining Balance (Nov 2025):</t>
        </is>
      </c>
      <c r="B266" s="3" t="n">
        <v>1056887</v>
      </c>
    </row>
    <row r="267">
      <c r="A267" t="inlineStr">
        <is>
          <t>Annual Interest Rate:</t>
        </is>
      </c>
      <c r="B267" s="4" t="n">
        <v>0.0565</v>
      </c>
    </row>
    <row r="268">
      <c r="A268" t="inlineStr">
        <is>
          <t>Monthly Payment:</t>
        </is>
      </c>
      <c r="B268" s="3" t="n">
        <v>22505.99</v>
      </c>
    </row>
    <row r="269">
      <c r="A269" t="inlineStr">
        <is>
          <t>Loan Type:</t>
        </is>
      </c>
      <c r="B269" t="inlineStr">
        <is>
          <t>AMORTIZING</t>
        </is>
      </c>
    </row>
    <row r="270">
      <c r="A270" t="inlineStr">
        <is>
          <t>Use:</t>
        </is>
      </c>
      <c r="B270" t="inlineStr">
        <is>
          <t>Equipment (Trailers)</t>
        </is>
      </c>
    </row>
    <row r="272">
      <c r="A272" s="17" t="inlineStr">
        <is>
          <t>AI ANALYSIS</t>
        </is>
      </c>
    </row>
    <row r="273">
      <c r="A273" s="6" t="inlineStr">
        <is>
          <t>Loan Type Classification: AMORTIZING - Standard principal and interest payments</t>
        </is>
      </c>
    </row>
    <row r="274">
      <c r="A274" s="6" t="inlineStr">
        <is>
          <t>Months Remaining: 53 (from Nov 2025 to maturity)</t>
        </is>
      </c>
    </row>
    <row r="275">
      <c r="A275" s="6" t="inlineStr">
        <is>
          <t>Equipment Financed: Equipment (Trailers)</t>
        </is>
      </c>
    </row>
    <row r="276">
      <c r="A276" s="6" t="inlineStr">
        <is>
          <t>Amortization: Full amortization schedule below starting from Dec 2025</t>
        </is>
      </c>
    </row>
    <row r="279">
      <c r="A279" s="84" t="inlineStr">
        <is>
          <t>Month #</t>
        </is>
      </c>
      <c r="B279" s="84" t="inlineStr">
        <is>
          <t>Date</t>
        </is>
      </c>
      <c r="C279" s="84" t="inlineStr">
        <is>
          <t>Opening Balance</t>
        </is>
      </c>
      <c r="D279" s="84" t="inlineStr">
        <is>
          <t>Interest</t>
        </is>
      </c>
      <c r="E279" s="84" t="inlineStr">
        <is>
          <t>Principal</t>
        </is>
      </c>
      <c r="F279" s="84" t="inlineStr">
        <is>
          <t>Closing Balance</t>
        </is>
      </c>
    </row>
    <row r="280">
      <c r="A280" s="34" t="n">
        <v>1</v>
      </c>
      <c r="B280" s="34" t="inlineStr">
        <is>
          <t>2025-12-01</t>
        </is>
      </c>
      <c r="C280" s="86">
        <f>B266</f>
        <v/>
      </c>
      <c r="D280" s="11">
        <f>MAX(0,C280*B267/12)</f>
        <v/>
      </c>
      <c r="E280" s="11">
        <f>MAX(0,MIN(C280,B268-D280))</f>
        <v/>
      </c>
      <c r="F280" s="11">
        <f>MAX(0,C280-E280)</f>
        <v/>
      </c>
    </row>
    <row r="281">
      <c r="A281" s="34" t="n">
        <v>2</v>
      </c>
      <c r="B281" s="34" t="inlineStr">
        <is>
          <t>2026-01-01</t>
        </is>
      </c>
      <c r="C281" s="86">
        <f>F280</f>
        <v/>
      </c>
      <c r="D281" s="11">
        <f>MAX(0,C281*B267/12)</f>
        <v/>
      </c>
      <c r="E281" s="11">
        <f>MAX(0,MIN(C281,B268-D281))</f>
        <v/>
      </c>
      <c r="F281" s="11">
        <f>MAX(0,C281-E281)</f>
        <v/>
      </c>
    </row>
    <row r="282">
      <c r="A282" s="34" t="n">
        <v>3</v>
      </c>
      <c r="B282" s="34" t="inlineStr">
        <is>
          <t>2026-02-01</t>
        </is>
      </c>
      <c r="C282" s="86">
        <f>F281</f>
        <v/>
      </c>
      <c r="D282" s="11">
        <f>MAX(0,C282*B267/12)</f>
        <v/>
      </c>
      <c r="E282" s="11">
        <f>MAX(0,MIN(C282,B268-D282))</f>
        <v/>
      </c>
      <c r="F282" s="11">
        <f>MAX(0,C282-E282)</f>
        <v/>
      </c>
    </row>
    <row r="283">
      <c r="A283" s="34" t="n">
        <v>4</v>
      </c>
      <c r="B283" s="34" t="inlineStr">
        <is>
          <t>2026-03-01</t>
        </is>
      </c>
      <c r="C283" s="86">
        <f>F282</f>
        <v/>
      </c>
      <c r="D283" s="11">
        <f>MAX(0,C283*B267/12)</f>
        <v/>
      </c>
      <c r="E283" s="11">
        <f>MAX(0,MIN(C283,B268-D283))</f>
        <v/>
      </c>
      <c r="F283" s="11">
        <f>MAX(0,C283-E283)</f>
        <v/>
      </c>
    </row>
    <row r="284">
      <c r="A284" s="34" t="n">
        <v>5</v>
      </c>
      <c r="B284" s="34" t="inlineStr">
        <is>
          <t>2026-04-01</t>
        </is>
      </c>
      <c r="C284" s="86">
        <f>F283</f>
        <v/>
      </c>
      <c r="D284" s="11">
        <f>MAX(0,C284*B267/12)</f>
        <v/>
      </c>
      <c r="E284" s="11">
        <f>MAX(0,MIN(C284,B268-D284))</f>
        <v/>
      </c>
      <c r="F284" s="11">
        <f>MAX(0,C284-E284)</f>
        <v/>
      </c>
    </row>
    <row r="285">
      <c r="A285" s="34" t="n">
        <v>6</v>
      </c>
      <c r="B285" s="34" t="inlineStr">
        <is>
          <t>2026-05-01</t>
        </is>
      </c>
      <c r="C285" s="86">
        <f>F284</f>
        <v/>
      </c>
      <c r="D285" s="11">
        <f>MAX(0,C285*B267/12)</f>
        <v/>
      </c>
      <c r="E285" s="11">
        <f>MAX(0,MIN(C285,B268-D285))</f>
        <v/>
      </c>
      <c r="F285" s="11">
        <f>MAX(0,C285-E285)</f>
        <v/>
      </c>
    </row>
    <row r="286">
      <c r="A286" s="34" t="n">
        <v>7</v>
      </c>
      <c r="B286" s="34" t="inlineStr">
        <is>
          <t>2026-06-01</t>
        </is>
      </c>
      <c r="C286" s="86">
        <f>F285</f>
        <v/>
      </c>
      <c r="D286" s="11">
        <f>MAX(0,C286*B267/12)</f>
        <v/>
      </c>
      <c r="E286" s="11">
        <f>MAX(0,MIN(C286,B268-D286))</f>
        <v/>
      </c>
      <c r="F286" s="11">
        <f>MAX(0,C286-E286)</f>
        <v/>
      </c>
    </row>
    <row r="287">
      <c r="A287" s="34" t="n">
        <v>8</v>
      </c>
      <c r="B287" s="34" t="inlineStr">
        <is>
          <t>2026-07-01</t>
        </is>
      </c>
      <c r="C287" s="86">
        <f>F286</f>
        <v/>
      </c>
      <c r="D287" s="11">
        <f>MAX(0,C287*B267/12)</f>
        <v/>
      </c>
      <c r="E287" s="11">
        <f>MAX(0,MIN(C287,B268-D287))</f>
        <v/>
      </c>
      <c r="F287" s="11">
        <f>MAX(0,C287-E287)</f>
        <v/>
      </c>
    </row>
    <row r="288">
      <c r="A288" s="34" t="n">
        <v>9</v>
      </c>
      <c r="B288" s="34" t="inlineStr">
        <is>
          <t>2026-08-01</t>
        </is>
      </c>
      <c r="C288" s="86">
        <f>F287</f>
        <v/>
      </c>
      <c r="D288" s="11">
        <f>MAX(0,C288*B267/12)</f>
        <v/>
      </c>
      <c r="E288" s="11">
        <f>MAX(0,MIN(C288,B268-D288))</f>
        <v/>
      </c>
      <c r="F288" s="11">
        <f>MAX(0,C288-E288)</f>
        <v/>
      </c>
    </row>
    <row r="289">
      <c r="A289" s="34" t="n">
        <v>10</v>
      </c>
      <c r="B289" s="34" t="inlineStr">
        <is>
          <t>2026-09-01</t>
        </is>
      </c>
      <c r="C289" s="86">
        <f>F288</f>
        <v/>
      </c>
      <c r="D289" s="11">
        <f>MAX(0,C289*B267/12)</f>
        <v/>
      </c>
      <c r="E289" s="11">
        <f>MAX(0,MIN(C289,B268-D289))</f>
        <v/>
      </c>
      <c r="F289" s="11">
        <f>MAX(0,C289-E289)</f>
        <v/>
      </c>
    </row>
    <row r="290">
      <c r="A290" s="34" t="n">
        <v>11</v>
      </c>
      <c r="B290" s="34" t="inlineStr">
        <is>
          <t>2026-10-01</t>
        </is>
      </c>
      <c r="C290" s="86">
        <f>F289</f>
        <v/>
      </c>
      <c r="D290" s="11">
        <f>MAX(0,C290*B267/12)</f>
        <v/>
      </c>
      <c r="E290" s="11">
        <f>MAX(0,MIN(C290,B268-D290))</f>
        <v/>
      </c>
      <c r="F290" s="11">
        <f>MAX(0,C290-E290)</f>
        <v/>
      </c>
    </row>
    <row r="291">
      <c r="A291" s="34" t="n">
        <v>12</v>
      </c>
      <c r="B291" s="34" t="inlineStr">
        <is>
          <t>2026-11-01</t>
        </is>
      </c>
      <c r="C291" s="86">
        <f>F290</f>
        <v/>
      </c>
      <c r="D291" s="11">
        <f>MAX(0,C291*B267/12)</f>
        <v/>
      </c>
      <c r="E291" s="11">
        <f>MAX(0,MIN(C291,B268-D291))</f>
        <v/>
      </c>
      <c r="F291" s="11">
        <f>MAX(0,C291-E291)</f>
        <v/>
      </c>
    </row>
    <row r="292">
      <c r="A292" s="34" t="n">
        <v>13</v>
      </c>
      <c r="B292" s="34" t="inlineStr">
        <is>
          <t>2026-12-01</t>
        </is>
      </c>
      <c r="C292" s="86">
        <f>F291</f>
        <v/>
      </c>
      <c r="D292" s="11">
        <f>MAX(0,C292*B267/12)</f>
        <v/>
      </c>
      <c r="E292" s="11">
        <f>MAX(0,MIN(C292,B268-D292))</f>
        <v/>
      </c>
      <c r="F292" s="11">
        <f>MAX(0,C292-E292)</f>
        <v/>
      </c>
    </row>
    <row r="293">
      <c r="A293" s="34" t="n">
        <v>14</v>
      </c>
      <c r="B293" s="34" t="inlineStr">
        <is>
          <t>2027-01-01</t>
        </is>
      </c>
      <c r="C293" s="86">
        <f>F292</f>
        <v/>
      </c>
      <c r="D293" s="11">
        <f>MAX(0,C293*B267/12)</f>
        <v/>
      </c>
      <c r="E293" s="11">
        <f>MAX(0,MIN(C293,B268-D293))</f>
        <v/>
      </c>
      <c r="F293" s="11">
        <f>MAX(0,C293-E293)</f>
        <v/>
      </c>
    </row>
    <row r="294">
      <c r="A294" s="34" t="n">
        <v>15</v>
      </c>
      <c r="B294" s="34" t="inlineStr">
        <is>
          <t>2027-02-01</t>
        </is>
      </c>
      <c r="C294" s="86">
        <f>F293</f>
        <v/>
      </c>
      <c r="D294" s="11">
        <f>MAX(0,C294*B267/12)</f>
        <v/>
      </c>
      <c r="E294" s="11">
        <f>MAX(0,MIN(C294,B268-D294))</f>
        <v/>
      </c>
      <c r="F294" s="11">
        <f>MAX(0,C294-E294)</f>
        <v/>
      </c>
    </row>
    <row r="295">
      <c r="A295" s="34" t="n">
        <v>16</v>
      </c>
      <c r="B295" s="34" t="inlineStr">
        <is>
          <t>2027-03-01</t>
        </is>
      </c>
      <c r="C295" s="86">
        <f>F294</f>
        <v/>
      </c>
      <c r="D295" s="11">
        <f>MAX(0,C295*B267/12)</f>
        <v/>
      </c>
      <c r="E295" s="11">
        <f>MAX(0,MIN(C295,B268-D295))</f>
        <v/>
      </c>
      <c r="F295" s="11">
        <f>MAX(0,C295-E295)</f>
        <v/>
      </c>
    </row>
    <row r="296">
      <c r="A296" s="34" t="n">
        <v>17</v>
      </c>
      <c r="B296" s="34" t="inlineStr">
        <is>
          <t>2027-04-01</t>
        </is>
      </c>
      <c r="C296" s="86">
        <f>F295</f>
        <v/>
      </c>
      <c r="D296" s="11">
        <f>MAX(0,C296*B267/12)</f>
        <v/>
      </c>
      <c r="E296" s="11">
        <f>MAX(0,MIN(C296,B268-D296))</f>
        <v/>
      </c>
      <c r="F296" s="11">
        <f>MAX(0,C296-E296)</f>
        <v/>
      </c>
    </row>
    <row r="297">
      <c r="A297" s="34" t="n">
        <v>18</v>
      </c>
      <c r="B297" s="34" t="inlineStr">
        <is>
          <t>2027-05-01</t>
        </is>
      </c>
      <c r="C297" s="86">
        <f>F296</f>
        <v/>
      </c>
      <c r="D297" s="11">
        <f>MAX(0,C297*B267/12)</f>
        <v/>
      </c>
      <c r="E297" s="11">
        <f>MAX(0,MIN(C297,B268-D297))</f>
        <v/>
      </c>
      <c r="F297" s="11">
        <f>MAX(0,C297-E297)</f>
        <v/>
      </c>
    </row>
    <row r="298">
      <c r="A298" s="34" t="n">
        <v>19</v>
      </c>
      <c r="B298" s="34" t="inlineStr">
        <is>
          <t>2027-06-01</t>
        </is>
      </c>
      <c r="C298" s="86">
        <f>F297</f>
        <v/>
      </c>
      <c r="D298" s="11">
        <f>MAX(0,C298*B267/12)</f>
        <v/>
      </c>
      <c r="E298" s="11">
        <f>MAX(0,MIN(C298,B268-D298))</f>
        <v/>
      </c>
      <c r="F298" s="11">
        <f>MAX(0,C298-E298)</f>
        <v/>
      </c>
    </row>
    <row r="299">
      <c r="A299" s="34" t="n">
        <v>20</v>
      </c>
      <c r="B299" s="34" t="inlineStr">
        <is>
          <t>2027-07-01</t>
        </is>
      </c>
      <c r="C299" s="86">
        <f>F298</f>
        <v/>
      </c>
      <c r="D299" s="11">
        <f>MAX(0,C299*B267/12)</f>
        <v/>
      </c>
      <c r="E299" s="11">
        <f>MAX(0,MIN(C299,B268-D299))</f>
        <v/>
      </c>
      <c r="F299" s="11">
        <f>MAX(0,C299-E299)</f>
        <v/>
      </c>
    </row>
    <row r="300">
      <c r="A300" s="34" t="n">
        <v>21</v>
      </c>
      <c r="B300" s="34" t="inlineStr">
        <is>
          <t>2027-08-01</t>
        </is>
      </c>
      <c r="C300" s="86">
        <f>F299</f>
        <v/>
      </c>
      <c r="D300" s="11">
        <f>MAX(0,C300*B267/12)</f>
        <v/>
      </c>
      <c r="E300" s="11">
        <f>MAX(0,MIN(C300,B268-D300))</f>
        <v/>
      </c>
      <c r="F300" s="11">
        <f>MAX(0,C300-E300)</f>
        <v/>
      </c>
    </row>
    <row r="301">
      <c r="A301" s="34" t="n">
        <v>22</v>
      </c>
      <c r="B301" s="34" t="inlineStr">
        <is>
          <t>2027-09-01</t>
        </is>
      </c>
      <c r="C301" s="86">
        <f>F300</f>
        <v/>
      </c>
      <c r="D301" s="11">
        <f>MAX(0,C301*B267/12)</f>
        <v/>
      </c>
      <c r="E301" s="11">
        <f>MAX(0,MIN(C301,B268-D301))</f>
        <v/>
      </c>
      <c r="F301" s="11">
        <f>MAX(0,C301-E301)</f>
        <v/>
      </c>
    </row>
    <row r="302">
      <c r="A302" s="34" t="n">
        <v>23</v>
      </c>
      <c r="B302" s="34" t="inlineStr">
        <is>
          <t>2027-10-01</t>
        </is>
      </c>
      <c r="C302" s="86">
        <f>F301</f>
        <v/>
      </c>
      <c r="D302" s="11">
        <f>MAX(0,C302*B267/12)</f>
        <v/>
      </c>
      <c r="E302" s="11">
        <f>MAX(0,MIN(C302,B268-D302))</f>
        <v/>
      </c>
      <c r="F302" s="11">
        <f>MAX(0,C302-E302)</f>
        <v/>
      </c>
    </row>
    <row r="303">
      <c r="A303" s="34" t="n">
        <v>24</v>
      </c>
      <c r="B303" s="34" t="inlineStr">
        <is>
          <t>2027-11-01</t>
        </is>
      </c>
      <c r="C303" s="86">
        <f>F302</f>
        <v/>
      </c>
      <c r="D303" s="11">
        <f>MAX(0,C303*B267/12)</f>
        <v/>
      </c>
      <c r="E303" s="11">
        <f>MAX(0,MIN(C303,B268-D303))</f>
        <v/>
      </c>
      <c r="F303" s="11">
        <f>MAX(0,C303-E303)</f>
        <v/>
      </c>
    </row>
    <row r="304">
      <c r="A304" s="34" t="n">
        <v>25</v>
      </c>
      <c r="B304" s="34" t="inlineStr">
        <is>
          <t>2027-12-01</t>
        </is>
      </c>
      <c r="C304" s="86">
        <f>F303</f>
        <v/>
      </c>
      <c r="D304" s="11">
        <f>MAX(0,C304*B267/12)</f>
        <v/>
      </c>
      <c r="E304" s="11">
        <f>MAX(0,MIN(C304,B268-D304))</f>
        <v/>
      </c>
      <c r="F304" s="11">
        <f>MAX(0,C304-E304)</f>
        <v/>
      </c>
    </row>
    <row r="305">
      <c r="A305" s="34" t="n">
        <v>26</v>
      </c>
      <c r="B305" s="34" t="inlineStr">
        <is>
          <t>2028-01-01</t>
        </is>
      </c>
      <c r="C305" s="86">
        <f>F304</f>
        <v/>
      </c>
      <c r="D305" s="11">
        <f>MAX(0,C305*B267/12)</f>
        <v/>
      </c>
      <c r="E305" s="11">
        <f>MAX(0,MIN(C305,B268-D305))</f>
        <v/>
      </c>
      <c r="F305" s="11">
        <f>MAX(0,C305-E305)</f>
        <v/>
      </c>
    </row>
    <row r="306">
      <c r="A306" s="34" t="n">
        <v>27</v>
      </c>
      <c r="B306" s="34" t="inlineStr">
        <is>
          <t>2028-02-01</t>
        </is>
      </c>
      <c r="C306" s="86">
        <f>F305</f>
        <v/>
      </c>
      <c r="D306" s="11">
        <f>MAX(0,C306*B267/12)</f>
        <v/>
      </c>
      <c r="E306" s="11">
        <f>MAX(0,MIN(C306,B268-D306))</f>
        <v/>
      </c>
      <c r="F306" s="11">
        <f>MAX(0,C306-E306)</f>
        <v/>
      </c>
    </row>
    <row r="307">
      <c r="A307" s="34" t="n">
        <v>28</v>
      </c>
      <c r="B307" s="34" t="inlineStr">
        <is>
          <t>2028-03-01</t>
        </is>
      </c>
      <c r="C307" s="86">
        <f>F306</f>
        <v/>
      </c>
      <c r="D307" s="11">
        <f>MAX(0,C307*B267/12)</f>
        <v/>
      </c>
      <c r="E307" s="11">
        <f>MAX(0,MIN(C307,B268-D307))</f>
        <v/>
      </c>
      <c r="F307" s="11">
        <f>MAX(0,C307-E307)</f>
        <v/>
      </c>
    </row>
    <row r="308">
      <c r="A308" s="34" t="n">
        <v>29</v>
      </c>
      <c r="B308" s="34" t="inlineStr">
        <is>
          <t>2028-04-01</t>
        </is>
      </c>
      <c r="C308" s="86">
        <f>F307</f>
        <v/>
      </c>
      <c r="D308" s="11">
        <f>MAX(0,C308*B267/12)</f>
        <v/>
      </c>
      <c r="E308" s="11">
        <f>MAX(0,MIN(C308,B268-D308))</f>
        <v/>
      </c>
      <c r="F308" s="11">
        <f>MAX(0,C308-E308)</f>
        <v/>
      </c>
    </row>
    <row r="309">
      <c r="A309" s="34" t="n">
        <v>30</v>
      </c>
      <c r="B309" s="34" t="inlineStr">
        <is>
          <t>2028-05-01</t>
        </is>
      </c>
      <c r="C309" s="86">
        <f>F308</f>
        <v/>
      </c>
      <c r="D309" s="11">
        <f>MAX(0,C309*B267/12)</f>
        <v/>
      </c>
      <c r="E309" s="11">
        <f>MAX(0,MIN(C309,B268-D309))</f>
        <v/>
      </c>
      <c r="F309" s="11">
        <f>MAX(0,C309-E309)</f>
        <v/>
      </c>
    </row>
    <row r="310">
      <c r="A310" s="34" t="n">
        <v>31</v>
      </c>
      <c r="B310" s="34" t="inlineStr">
        <is>
          <t>2028-06-01</t>
        </is>
      </c>
      <c r="C310" s="86">
        <f>F309</f>
        <v/>
      </c>
      <c r="D310" s="11">
        <f>MAX(0,C310*B267/12)</f>
        <v/>
      </c>
      <c r="E310" s="11">
        <f>MAX(0,MIN(C310,B268-D310))</f>
        <v/>
      </c>
      <c r="F310" s="11">
        <f>MAX(0,C310-E310)</f>
        <v/>
      </c>
    </row>
    <row r="311">
      <c r="A311" s="34" t="n">
        <v>32</v>
      </c>
      <c r="B311" s="34" t="inlineStr">
        <is>
          <t>2028-07-01</t>
        </is>
      </c>
      <c r="C311" s="86">
        <f>F310</f>
        <v/>
      </c>
      <c r="D311" s="11">
        <f>MAX(0,C311*B267/12)</f>
        <v/>
      </c>
      <c r="E311" s="11">
        <f>MAX(0,MIN(C311,B268-D311))</f>
        <v/>
      </c>
      <c r="F311" s="11">
        <f>MAX(0,C311-E311)</f>
        <v/>
      </c>
    </row>
    <row r="312">
      <c r="A312" s="34" t="n">
        <v>33</v>
      </c>
      <c r="B312" s="34" t="inlineStr">
        <is>
          <t>2028-08-01</t>
        </is>
      </c>
      <c r="C312" s="86">
        <f>F311</f>
        <v/>
      </c>
      <c r="D312" s="11">
        <f>MAX(0,C312*B267/12)</f>
        <v/>
      </c>
      <c r="E312" s="11">
        <f>MAX(0,MIN(C312,B268-D312))</f>
        <v/>
      </c>
      <c r="F312" s="11">
        <f>MAX(0,C312-E312)</f>
        <v/>
      </c>
    </row>
    <row r="313">
      <c r="A313" s="34" t="n">
        <v>34</v>
      </c>
      <c r="B313" s="34" t="inlineStr">
        <is>
          <t>2028-09-01</t>
        </is>
      </c>
      <c r="C313" s="86">
        <f>F312</f>
        <v/>
      </c>
      <c r="D313" s="11">
        <f>MAX(0,C313*B267/12)</f>
        <v/>
      </c>
      <c r="E313" s="11">
        <f>MAX(0,MIN(C313,B268-D313))</f>
        <v/>
      </c>
      <c r="F313" s="11">
        <f>MAX(0,C313-E313)</f>
        <v/>
      </c>
    </row>
    <row r="314">
      <c r="A314" s="34" t="n">
        <v>35</v>
      </c>
      <c r="B314" s="34" t="inlineStr">
        <is>
          <t>2028-10-01</t>
        </is>
      </c>
      <c r="C314" s="86">
        <f>F313</f>
        <v/>
      </c>
      <c r="D314" s="11">
        <f>MAX(0,C314*B267/12)</f>
        <v/>
      </c>
      <c r="E314" s="11">
        <f>MAX(0,MIN(C314,B268-D314))</f>
        <v/>
      </c>
      <c r="F314" s="11">
        <f>MAX(0,C314-E314)</f>
        <v/>
      </c>
    </row>
    <row r="315">
      <c r="A315" s="34" t="n">
        <v>36</v>
      </c>
      <c r="B315" s="34" t="inlineStr">
        <is>
          <t>2028-11-01</t>
        </is>
      </c>
      <c r="C315" s="86">
        <f>F314</f>
        <v/>
      </c>
      <c r="D315" s="11">
        <f>MAX(0,C315*B267/12)</f>
        <v/>
      </c>
      <c r="E315" s="11">
        <f>MAX(0,MIN(C315,B268-D315))</f>
        <v/>
      </c>
      <c r="F315" s="11">
        <f>MAX(0,C315-E315)</f>
        <v/>
      </c>
    </row>
    <row r="316">
      <c r="A316" s="34" t="n">
        <v>37</v>
      </c>
      <c r="B316" s="34" t="inlineStr">
        <is>
          <t>2028-12-01</t>
        </is>
      </c>
      <c r="C316" s="86">
        <f>F315</f>
        <v/>
      </c>
      <c r="D316" s="11">
        <f>MAX(0,C316*B267/12)</f>
        <v/>
      </c>
      <c r="E316" s="11">
        <f>MAX(0,MIN(C316,B268-D316))</f>
        <v/>
      </c>
      <c r="F316" s="11">
        <f>MAX(0,C316-E316)</f>
        <v/>
      </c>
    </row>
    <row r="317">
      <c r="A317" s="34" t="n">
        <v>38</v>
      </c>
      <c r="B317" s="34" t="inlineStr">
        <is>
          <t>2029-01-01</t>
        </is>
      </c>
      <c r="C317" s="86">
        <f>F316</f>
        <v/>
      </c>
      <c r="D317" s="11">
        <f>MAX(0,C317*B267/12)</f>
        <v/>
      </c>
      <c r="E317" s="11">
        <f>MAX(0,MIN(C317,B268-D317))</f>
        <v/>
      </c>
      <c r="F317" s="11">
        <f>MAX(0,C317-E317)</f>
        <v/>
      </c>
    </row>
    <row r="318">
      <c r="A318" s="34" t="n">
        <v>39</v>
      </c>
      <c r="B318" s="34" t="inlineStr">
        <is>
          <t>2029-02-01</t>
        </is>
      </c>
      <c r="C318" s="86">
        <f>F317</f>
        <v/>
      </c>
      <c r="D318" s="11">
        <f>MAX(0,C318*B267/12)</f>
        <v/>
      </c>
      <c r="E318" s="11">
        <f>MAX(0,MIN(C318,B268-D318))</f>
        <v/>
      </c>
      <c r="F318" s="11">
        <f>MAX(0,C318-E318)</f>
        <v/>
      </c>
    </row>
    <row r="319">
      <c r="A319" s="34" t="n">
        <v>40</v>
      </c>
      <c r="B319" s="34" t="inlineStr">
        <is>
          <t>2029-03-01</t>
        </is>
      </c>
      <c r="C319" s="86">
        <f>F318</f>
        <v/>
      </c>
      <c r="D319" s="11">
        <f>MAX(0,C319*B267/12)</f>
        <v/>
      </c>
      <c r="E319" s="11">
        <f>MAX(0,MIN(C319,B268-D319))</f>
        <v/>
      </c>
      <c r="F319" s="11">
        <f>MAX(0,C319-E319)</f>
        <v/>
      </c>
    </row>
    <row r="320">
      <c r="A320" s="34" t="n">
        <v>41</v>
      </c>
      <c r="B320" s="34" t="inlineStr">
        <is>
          <t>2029-04-01</t>
        </is>
      </c>
      <c r="C320" s="86">
        <f>F319</f>
        <v/>
      </c>
      <c r="D320" s="11">
        <f>MAX(0,C320*B267/12)</f>
        <v/>
      </c>
      <c r="E320" s="11">
        <f>MAX(0,MIN(C320,B268-D320))</f>
        <v/>
      </c>
      <c r="F320" s="11">
        <f>MAX(0,C320-E320)</f>
        <v/>
      </c>
    </row>
    <row r="321">
      <c r="A321" s="34" t="n">
        <v>42</v>
      </c>
      <c r="B321" s="34" t="inlineStr">
        <is>
          <t>2029-05-01</t>
        </is>
      </c>
      <c r="C321" s="86">
        <f>F320</f>
        <v/>
      </c>
      <c r="D321" s="11">
        <f>MAX(0,C321*B267/12)</f>
        <v/>
      </c>
      <c r="E321" s="11">
        <f>MAX(0,MIN(C321,B268-D321))</f>
        <v/>
      </c>
      <c r="F321" s="11">
        <f>MAX(0,C321-E321)</f>
        <v/>
      </c>
    </row>
    <row r="322">
      <c r="A322" s="34" t="n">
        <v>43</v>
      </c>
      <c r="B322" s="34" t="inlineStr">
        <is>
          <t>2029-06-01</t>
        </is>
      </c>
      <c r="C322" s="86">
        <f>F321</f>
        <v/>
      </c>
      <c r="D322" s="11">
        <f>MAX(0,C322*B267/12)</f>
        <v/>
      </c>
      <c r="E322" s="11">
        <f>MAX(0,MIN(C322,B268-D322))</f>
        <v/>
      </c>
      <c r="F322" s="11">
        <f>MAX(0,C322-E322)</f>
        <v/>
      </c>
    </row>
    <row r="323">
      <c r="A323" s="34" t="n">
        <v>44</v>
      </c>
      <c r="B323" s="34" t="inlineStr">
        <is>
          <t>2029-07-01</t>
        </is>
      </c>
      <c r="C323" s="86">
        <f>F322</f>
        <v/>
      </c>
      <c r="D323" s="11">
        <f>MAX(0,C323*B267/12)</f>
        <v/>
      </c>
      <c r="E323" s="11">
        <f>MAX(0,MIN(C323,B268-D323))</f>
        <v/>
      </c>
      <c r="F323" s="11">
        <f>MAX(0,C323-E323)</f>
        <v/>
      </c>
    </row>
    <row r="324">
      <c r="A324" s="34" t="n">
        <v>45</v>
      </c>
      <c r="B324" s="34" t="inlineStr">
        <is>
          <t>2029-08-01</t>
        </is>
      </c>
      <c r="C324" s="86">
        <f>F323</f>
        <v/>
      </c>
      <c r="D324" s="11">
        <f>MAX(0,C324*B267/12)</f>
        <v/>
      </c>
      <c r="E324" s="11">
        <f>MAX(0,MIN(C324,B268-D324))</f>
        <v/>
      </c>
      <c r="F324" s="11">
        <f>MAX(0,C324-E324)</f>
        <v/>
      </c>
    </row>
    <row r="325">
      <c r="A325" s="34" t="n">
        <v>46</v>
      </c>
      <c r="B325" s="34" t="inlineStr">
        <is>
          <t>2029-09-01</t>
        </is>
      </c>
      <c r="C325" s="86">
        <f>F324</f>
        <v/>
      </c>
      <c r="D325" s="11">
        <f>MAX(0,C325*B267/12)</f>
        <v/>
      </c>
      <c r="E325" s="11">
        <f>MAX(0,MIN(C325,B268-D325))</f>
        <v/>
      </c>
      <c r="F325" s="11">
        <f>MAX(0,C325-E325)</f>
        <v/>
      </c>
    </row>
    <row r="326">
      <c r="A326" s="34" t="n">
        <v>47</v>
      </c>
      <c r="B326" s="34" t="inlineStr">
        <is>
          <t>2029-10-01</t>
        </is>
      </c>
      <c r="C326" s="86">
        <f>F325</f>
        <v/>
      </c>
      <c r="D326" s="11">
        <f>MAX(0,C326*B267/12)</f>
        <v/>
      </c>
      <c r="E326" s="11">
        <f>MAX(0,MIN(C326,B268-D326))</f>
        <v/>
      </c>
      <c r="F326" s="11">
        <f>MAX(0,C326-E326)</f>
        <v/>
      </c>
    </row>
    <row r="327">
      <c r="A327" s="34" t="n">
        <v>48</v>
      </c>
      <c r="B327" s="34" t="inlineStr">
        <is>
          <t>2029-11-01</t>
        </is>
      </c>
      <c r="C327" s="86">
        <f>F326</f>
        <v/>
      </c>
      <c r="D327" s="11">
        <f>MAX(0,C327*B267/12)</f>
        <v/>
      </c>
      <c r="E327" s="11">
        <f>MAX(0,MIN(C327,B268-D327))</f>
        <v/>
      </c>
      <c r="F327" s="11">
        <f>MAX(0,C327-E327)</f>
        <v/>
      </c>
    </row>
    <row r="328">
      <c r="A328" s="34" t="n">
        <v>49</v>
      </c>
      <c r="B328" s="34" t="inlineStr">
        <is>
          <t>2029-12-01</t>
        </is>
      </c>
      <c r="C328" s="86">
        <f>F327</f>
        <v/>
      </c>
      <c r="D328" s="11">
        <f>MAX(0,C328*B267/12)</f>
        <v/>
      </c>
      <c r="E328" s="11">
        <f>MAX(0,MIN(C328,B268-D328))</f>
        <v/>
      </c>
      <c r="F328" s="11">
        <f>MAX(0,C328-E328)</f>
        <v/>
      </c>
    </row>
    <row r="329">
      <c r="A329" s="34" t="n">
        <v>50</v>
      </c>
      <c r="B329" s="34" t="inlineStr">
        <is>
          <t>2030-01-01</t>
        </is>
      </c>
      <c r="C329" s="86">
        <f>F328</f>
        <v/>
      </c>
      <c r="D329" s="11">
        <f>MAX(0,C329*B267/12)</f>
        <v/>
      </c>
      <c r="E329" s="11">
        <f>MAX(0,MIN(C329,B268-D329))</f>
        <v/>
      </c>
      <c r="F329" s="11">
        <f>MAX(0,C329-E329)</f>
        <v/>
      </c>
    </row>
    <row r="330">
      <c r="A330" s="34" t="n">
        <v>51</v>
      </c>
      <c r="B330" s="34" t="inlineStr">
        <is>
          <t>2030-02-01</t>
        </is>
      </c>
      <c r="C330" s="86">
        <f>F329</f>
        <v/>
      </c>
      <c r="D330" s="11">
        <f>MAX(0,C330*B267/12)</f>
        <v/>
      </c>
      <c r="E330" s="11">
        <f>MAX(0,MIN(C330,B268-D330))</f>
        <v/>
      </c>
      <c r="F330" s="11">
        <f>MAX(0,C330-E330)</f>
        <v/>
      </c>
    </row>
    <row r="331">
      <c r="A331" s="34" t="n">
        <v>52</v>
      </c>
      <c r="B331" s="34" t="inlineStr">
        <is>
          <t>2030-03-01</t>
        </is>
      </c>
      <c r="C331" s="86">
        <f>F330</f>
        <v/>
      </c>
      <c r="D331" s="11">
        <f>MAX(0,C331*B267/12)</f>
        <v/>
      </c>
      <c r="E331" s="11">
        <f>MAX(0,MIN(C331,B268-D331))</f>
        <v/>
      </c>
      <c r="F331" s="11">
        <f>MAX(0,C331-E331)</f>
        <v/>
      </c>
    </row>
    <row r="332">
      <c r="A332" s="34" t="n">
        <v>53</v>
      </c>
      <c r="B332" s="34" t="inlineStr">
        <is>
          <t>2030-04-01</t>
        </is>
      </c>
      <c r="C332" s="86">
        <f>F331</f>
        <v/>
      </c>
      <c r="D332" s="11">
        <f>MAX(0,C332*B267/12)</f>
        <v/>
      </c>
      <c r="E332" s="11">
        <f>MAX(0,MIN(C332,B268-D332))</f>
        <v/>
      </c>
      <c r="F332" s="11">
        <f>MAX(0,C332-E332)</f>
        <v/>
      </c>
    </row>
    <row r="333">
      <c r="A333" s="34" t="n">
        <v>54</v>
      </c>
      <c r="B333" s="34" t="inlineStr">
        <is>
          <t>2030-05-01</t>
        </is>
      </c>
      <c r="C333" s="86">
        <f>F332</f>
        <v/>
      </c>
      <c r="D333" s="11">
        <f>MAX(0,C333*B267/12)</f>
        <v/>
      </c>
      <c r="E333" s="11">
        <f>MAX(0,MIN(C333,B268-D333))</f>
        <v/>
      </c>
      <c r="F333" s="11">
        <f>MAX(0,C333-E333)</f>
        <v/>
      </c>
    </row>
    <row r="334">
      <c r="A334" s="41" t="inlineStr">
        <is>
          <t>TOTAL</t>
        </is>
      </c>
      <c r="B334" s="34" t="inlineStr"/>
      <c r="C334" s="34" t="inlineStr"/>
      <c r="D334" s="42">
        <f>SUM(D280:D333)</f>
        <v/>
      </c>
      <c r="E334" s="42">
        <f>SUM(E280:E333)</f>
        <v/>
      </c>
      <c r="F334" s="34" t="inlineStr"/>
    </row>
  </sheetData>
  <mergeCells count="11">
    <mergeCell ref="A14:G14"/>
    <mergeCell ref="A80:G80"/>
    <mergeCell ref="A1:G1"/>
    <mergeCell ref="A67:G67"/>
    <mergeCell ref="A27:G27"/>
    <mergeCell ref="A259:G259"/>
    <mergeCell ref="A140:G140"/>
    <mergeCell ref="A153:G153"/>
    <mergeCell ref="A272:G272"/>
    <mergeCell ref="A199:G199"/>
    <mergeCell ref="A212:G212"/>
  </mergeCells>
  <pageMargins left="0.75" right="0.75" top="1" bottom="1" header="0.5" footer="0.5"/>
  <legacyDrawing xmlns:r="http://schemas.openxmlformats.org/officeDocument/2006/relationships" r:id="anysvml"/>
</worksheet>
</file>

<file path=xl/worksheets/sheet13.xml><?xml version="1.0" encoding="utf-8"?>
<worksheet xmlns="http://schemas.openxmlformats.org/spreadsheetml/2006/main">
  <sheetPr>
    <tabColor rgb="00808080"/>
    <outlinePr summaryBelow="1" summaryRight="1"/>
    <pageSetUpPr/>
  </sheetPr>
  <dimension ref="A1:G262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6" customWidth="1" min="3" max="3"/>
    <col width="14" customWidth="1" min="4" max="4"/>
    <col width="14" customWidth="1" min="5" max="5"/>
    <col width="16" customWidth="1" min="6" max="6"/>
    <col width="40" customWidth="1" min="7" max="7"/>
  </cols>
  <sheetData>
    <row r="1">
      <c r="A1" s="70" t="inlineStr">
        <is>
          <t>PEAPACK CAPITAL — LOAN SUMMARY</t>
        </is>
      </c>
    </row>
    <row r="2">
      <c r="A2" t="inlineStr">
        <is>
          <t>As of Date:</t>
        </is>
      </c>
      <c r="B2" s="2" t="inlineStr">
        <is>
          <t>2025-11-30</t>
        </is>
      </c>
    </row>
    <row r="3">
      <c r="A3" t="inlineStr">
        <is>
          <t>Total Loans:</t>
        </is>
      </c>
      <c r="B3" t="n">
        <v>5</v>
      </c>
    </row>
    <row r="4">
      <c r="A4" t="inlineStr">
        <is>
          <t>Total Balance:</t>
        </is>
      </c>
      <c r="B4" s="21" t="n">
        <v>1422239</v>
      </c>
    </row>
    <row r="5">
      <c r="A5" t="inlineStr">
        <is>
          <t>Total Monthly:</t>
        </is>
      </c>
      <c r="B5" s="21" t="n">
        <v>42927.39999999999</v>
      </c>
    </row>
    <row r="7">
      <c r="A7" s="39" t="inlineStr">
        <is>
          <t>LOAN SUMMARY TABLE</t>
        </is>
      </c>
    </row>
    <row r="8">
      <c r="A8" s="41" t="inlineStr">
        <is>
          <t>#</t>
        </is>
      </c>
      <c r="B8" s="41" t="inlineStr">
        <is>
          <t>Description</t>
        </is>
      </c>
      <c r="C8" s="41" t="inlineStr">
        <is>
          <t>Balance</t>
        </is>
      </c>
      <c r="D8" s="41" t="inlineStr">
        <is>
          <t>Rate</t>
        </is>
      </c>
      <c r="E8" s="41" t="inlineStr">
        <is>
          <t>Payment</t>
        </is>
      </c>
      <c r="F8" s="41" t="inlineStr">
        <is>
          <t>Maturity</t>
        </is>
      </c>
      <c r="G8" s="41" t="inlineStr">
        <is>
          <t>Notes</t>
        </is>
      </c>
    </row>
    <row r="9">
      <c r="A9" s="34" t="n">
        <v>1</v>
      </c>
      <c r="B9" s="34" t="inlineStr">
        <is>
          <t>5 T680 Sleepers (Feb 2022)</t>
        </is>
      </c>
      <c r="C9" s="11" t="n">
        <v>262271</v>
      </c>
      <c r="D9" s="82" t="n">
        <v>0.0289</v>
      </c>
      <c r="E9" s="11" t="n">
        <v>12823.35</v>
      </c>
      <c r="F9" s="34" t="inlineStr">
        <is>
          <t>2027-08-18</t>
        </is>
      </c>
      <c r="G9" s="34" t="inlineStr">
        <is>
          <t>Equipment (Semi trucks)</t>
        </is>
      </c>
    </row>
    <row r="10">
      <c r="A10" s="34" t="n">
        <v>2</v>
      </c>
      <c r="B10" s="34" t="inlineStr">
        <is>
          <t>1 Autocar Spotter (May 2022)</t>
        </is>
      </c>
      <c r="C10" s="11" t="n">
        <v>43716</v>
      </c>
      <c r="D10" s="82" t="n">
        <v>0.04375</v>
      </c>
      <c r="E10" s="11" t="n">
        <v>2499.85</v>
      </c>
      <c r="F10" s="34" t="inlineStr">
        <is>
          <t>2027-05-26</t>
        </is>
      </c>
      <c r="G10" s="34" t="inlineStr">
        <is>
          <t>Equipment (Spotter)</t>
        </is>
      </c>
    </row>
    <row r="11">
      <c r="A11" s="34" t="n">
        <v>3</v>
      </c>
      <c r="B11" s="34" t="inlineStr">
        <is>
          <t>4 Forklifts (Nov 2022)</t>
        </is>
      </c>
      <c r="C11" s="11" t="n">
        <v>287</v>
      </c>
      <c r="D11" s="82" t="n">
        <v>0.0645</v>
      </c>
      <c r="E11" s="11" t="n">
        <v>7390.08</v>
      </c>
      <c r="F11" s="34" t="inlineStr">
        <is>
          <t>2025-11-01</t>
        </is>
      </c>
      <c r="G11" s="34" t="inlineStr">
        <is>
          <t>Near payoff</t>
        </is>
      </c>
    </row>
    <row r="12">
      <c r="A12" s="34" t="n">
        <v>4</v>
      </c>
      <c r="B12" s="34" t="inlineStr">
        <is>
          <t>1 Electric Forklift (July 2024)</t>
        </is>
      </c>
      <c r="C12" s="11" t="n">
        <v>20073</v>
      </c>
      <c r="D12" s="82" t="n">
        <v>0.0726</v>
      </c>
      <c r="E12" s="11" t="n">
        <v>1066.94</v>
      </c>
      <c r="F12" s="34" t="inlineStr">
        <is>
          <t>2027-07-03</t>
        </is>
      </c>
      <c r="G12" s="34" t="inlineStr">
        <is>
          <t>Equipment (Forklift)</t>
        </is>
      </c>
    </row>
    <row r="13">
      <c r="A13" s="34" t="n">
        <v>5</v>
      </c>
      <c r="B13" s="34" t="inlineStr">
        <is>
          <t>25 Trailers (July 2024)</t>
        </is>
      </c>
      <c r="C13" s="11" t="n">
        <v>1095892</v>
      </c>
      <c r="D13" s="82" t="n">
        <v>0.0619</v>
      </c>
      <c r="E13" s="11" t="n">
        <v>19147.18</v>
      </c>
      <c r="F13" s="34" t="inlineStr">
        <is>
          <t>2031-07-22</t>
        </is>
      </c>
      <c r="G13" s="34" t="inlineStr">
        <is>
          <t>Equipment (Trailers)</t>
        </is>
      </c>
    </row>
    <row r="14">
      <c r="A14" s="41" t="inlineStr">
        <is>
          <t>TOTAL</t>
        </is>
      </c>
      <c r="B14" s="34" t="inlineStr"/>
      <c r="C14" s="42" t="n">
        <v>1422239</v>
      </c>
      <c r="D14" s="34" t="inlineStr"/>
      <c r="E14" s="42" t="n">
        <v>42927.39999999999</v>
      </c>
      <c r="F14" s="34" t="inlineStr"/>
      <c r="G14" s="34" t="inlineStr"/>
    </row>
    <row r="17">
      <c r="A17" s="39" t="inlineStr">
        <is>
          <t>LOAN 1: 5 T680 Sleepers (Feb 2022)</t>
        </is>
      </c>
    </row>
    <row r="18">
      <c r="A18" t="inlineStr">
        <is>
          <t>Loan ID:</t>
        </is>
      </c>
      <c r="B18" s="2" t="inlineStr">
        <is>
          <t>05-2984-002-000-00</t>
        </is>
      </c>
    </row>
    <row r="19">
      <c r="A19" t="inlineStr">
        <is>
          <t>Origination Date:</t>
        </is>
      </c>
      <c r="B19" s="2" t="inlineStr">
        <is>
          <t>2022-02-18</t>
        </is>
      </c>
    </row>
    <row r="20">
      <c r="A20" t="inlineStr">
        <is>
          <t>Maturity Date:</t>
        </is>
      </c>
      <c r="B20" s="2" t="inlineStr">
        <is>
          <t>2027-08-18</t>
        </is>
      </c>
    </row>
    <row r="21">
      <c r="A21" t="inlineStr">
        <is>
          <t>Opening Balance:</t>
        </is>
      </c>
      <c r="B21" s="3" t="n">
        <v>781635</v>
      </c>
    </row>
    <row r="22">
      <c r="A22" t="inlineStr">
        <is>
          <t>Remaining Balance:</t>
        </is>
      </c>
      <c r="B22" s="3" t="n">
        <v>262271</v>
      </c>
    </row>
    <row r="23">
      <c r="A23" t="inlineStr">
        <is>
          <t>Annual Rate:</t>
        </is>
      </c>
      <c r="B23" s="4" t="n">
        <v>0.0289</v>
      </c>
    </row>
    <row r="24">
      <c r="A24" t="inlineStr">
        <is>
          <t>Monthly Payment:</t>
        </is>
      </c>
      <c r="B24" s="3" t="n">
        <v>12823.35</v>
      </c>
    </row>
    <row r="25">
      <c r="A25" t="inlineStr">
        <is>
          <t>Loan Type:</t>
        </is>
      </c>
      <c r="B25" s="2" t="inlineStr">
        <is>
          <t>AMORTIZING</t>
        </is>
      </c>
    </row>
    <row r="26">
      <c r="A26" t="inlineStr">
        <is>
          <t>Use:</t>
        </is>
      </c>
      <c r="B26" s="2" t="inlineStr">
        <is>
          <t>Equipment (Semi trucks)</t>
        </is>
      </c>
    </row>
    <row r="28">
      <c r="A28" s="17" t="inlineStr">
        <is>
          <t>AI ANALYSIS</t>
        </is>
      </c>
    </row>
    <row r="29">
      <c r="A29" t="inlineStr">
        <is>
          <t>Loan Classification:</t>
        </is>
      </c>
      <c r="B29" s="6" t="inlineStr">
        <is>
          <t>AMORTIZING - Standard P&amp;I amortization</t>
        </is>
      </c>
    </row>
    <row r="30">
      <c r="A30" t="inlineStr">
        <is>
          <t>Months Since Origination:</t>
        </is>
      </c>
      <c r="B30" s="87" t="n">
        <v>45</v>
      </c>
    </row>
    <row r="31">
      <c r="A31" t="inlineStr">
        <is>
          <t>Months to Maturity:</t>
        </is>
      </c>
      <c r="B31" s="87" t="n">
        <v>21</v>
      </c>
    </row>
    <row r="32">
      <c r="A32" t="inlineStr">
        <is>
          <t>Amortization Notes:</t>
        </is>
      </c>
      <c r="B32" s="6" t="inlineStr">
        <is>
          <t>Monthly payment of $12,823.35 until maturity</t>
        </is>
      </c>
    </row>
    <row r="34">
      <c r="A34" s="39" t="inlineStr">
        <is>
          <t>AMORTIZATION SCHEDULE</t>
        </is>
      </c>
    </row>
    <row r="35">
      <c r="A35" s="88" t="inlineStr">
        <is>
          <t>Month #</t>
        </is>
      </c>
      <c r="B35" s="88" t="inlineStr">
        <is>
          <t>Date</t>
        </is>
      </c>
      <c r="C35" s="88" t="inlineStr">
        <is>
          <t>Opening</t>
        </is>
      </c>
      <c r="D35" s="88" t="inlineStr">
        <is>
          <t>Interest</t>
        </is>
      </c>
      <c r="E35" s="88" t="inlineStr">
        <is>
          <t>Principal</t>
        </is>
      </c>
      <c r="F35" s="88" t="inlineStr">
        <is>
          <t>Closing</t>
        </is>
      </c>
    </row>
    <row r="36">
      <c r="A36" s="34" t="n">
        <v>1</v>
      </c>
      <c r="B36" s="34" t="inlineStr">
        <is>
          <t>2025-12-18</t>
        </is>
      </c>
      <c r="C36" s="11">
        <f>262271</f>
        <v/>
      </c>
      <c r="D36" s="11">
        <f>MAX(0,C36*$B$23/12)</f>
        <v/>
      </c>
      <c r="E36" s="11">
        <f>MAX(0,MIN(C36,$B$24-D36))</f>
        <v/>
      </c>
      <c r="F36" s="11">
        <f>MAX(0,C36-E36)</f>
        <v/>
      </c>
    </row>
    <row r="37">
      <c r="A37" s="34" t="n">
        <v>2</v>
      </c>
      <c r="B37" s="34" t="inlineStr">
        <is>
          <t>2026-01-18</t>
        </is>
      </c>
      <c r="C37" s="11">
        <f>F36</f>
        <v/>
      </c>
      <c r="D37" s="11">
        <f>MAX(0,C37*$B$23/12)</f>
        <v/>
      </c>
      <c r="E37" s="11">
        <f>MAX(0,MIN(C37,$B$24-D37))</f>
        <v/>
      </c>
      <c r="F37" s="11">
        <f>MAX(0,C37-E37)</f>
        <v/>
      </c>
    </row>
    <row r="38">
      <c r="A38" s="34" t="n">
        <v>3</v>
      </c>
      <c r="B38" s="34" t="inlineStr">
        <is>
          <t>2026-02-18</t>
        </is>
      </c>
      <c r="C38" s="11">
        <f>F37</f>
        <v/>
      </c>
      <c r="D38" s="11">
        <f>MAX(0,C38*$B$23/12)</f>
        <v/>
      </c>
      <c r="E38" s="11">
        <f>MAX(0,MIN(C38,$B$24-D38))</f>
        <v/>
      </c>
      <c r="F38" s="11">
        <f>MAX(0,C38-E38)</f>
        <v/>
      </c>
    </row>
    <row r="39">
      <c r="A39" s="34" t="n">
        <v>4</v>
      </c>
      <c r="B39" s="34" t="inlineStr">
        <is>
          <t>2026-03-18</t>
        </is>
      </c>
      <c r="C39" s="11">
        <f>F38</f>
        <v/>
      </c>
      <c r="D39" s="11">
        <f>MAX(0,C39*$B$23/12)</f>
        <v/>
      </c>
      <c r="E39" s="11">
        <f>MAX(0,MIN(C39,$B$24-D39))</f>
        <v/>
      </c>
      <c r="F39" s="11">
        <f>MAX(0,C39-E39)</f>
        <v/>
      </c>
    </row>
    <row r="40">
      <c r="A40" s="34" t="n">
        <v>5</v>
      </c>
      <c r="B40" s="34" t="inlineStr">
        <is>
          <t>2026-04-18</t>
        </is>
      </c>
      <c r="C40" s="11">
        <f>F39</f>
        <v/>
      </c>
      <c r="D40" s="11">
        <f>MAX(0,C40*$B$23/12)</f>
        <v/>
      </c>
      <c r="E40" s="11">
        <f>MAX(0,MIN(C40,$B$24-D40))</f>
        <v/>
      </c>
      <c r="F40" s="11">
        <f>MAX(0,C40-E40)</f>
        <v/>
      </c>
    </row>
    <row r="41">
      <c r="A41" s="34" t="n">
        <v>6</v>
      </c>
      <c r="B41" s="34" t="inlineStr">
        <is>
          <t>2026-05-18</t>
        </is>
      </c>
      <c r="C41" s="11">
        <f>F40</f>
        <v/>
      </c>
      <c r="D41" s="11">
        <f>MAX(0,C41*$B$23/12)</f>
        <v/>
      </c>
      <c r="E41" s="11">
        <f>MAX(0,MIN(C41,$B$24-D41))</f>
        <v/>
      </c>
      <c r="F41" s="11">
        <f>MAX(0,C41-E41)</f>
        <v/>
      </c>
    </row>
    <row r="42">
      <c r="A42" s="34" t="n">
        <v>7</v>
      </c>
      <c r="B42" s="34" t="inlineStr">
        <is>
          <t>2026-06-18</t>
        </is>
      </c>
      <c r="C42" s="11">
        <f>F41</f>
        <v/>
      </c>
      <c r="D42" s="11">
        <f>MAX(0,C42*$B$23/12)</f>
        <v/>
      </c>
      <c r="E42" s="11">
        <f>MAX(0,MIN(C42,$B$24-D42))</f>
        <v/>
      </c>
      <c r="F42" s="11">
        <f>MAX(0,C42-E42)</f>
        <v/>
      </c>
    </row>
    <row r="43">
      <c r="A43" s="34" t="n">
        <v>8</v>
      </c>
      <c r="B43" s="34" t="inlineStr">
        <is>
          <t>2026-07-18</t>
        </is>
      </c>
      <c r="C43" s="11">
        <f>F42</f>
        <v/>
      </c>
      <c r="D43" s="11">
        <f>MAX(0,C43*$B$23/12)</f>
        <v/>
      </c>
      <c r="E43" s="11">
        <f>MAX(0,MIN(C43,$B$24-D43))</f>
        <v/>
      </c>
      <c r="F43" s="11">
        <f>MAX(0,C43-E43)</f>
        <v/>
      </c>
    </row>
    <row r="44">
      <c r="A44" s="34" t="n">
        <v>9</v>
      </c>
      <c r="B44" s="34" t="inlineStr">
        <is>
          <t>2026-08-18</t>
        </is>
      </c>
      <c r="C44" s="11">
        <f>F43</f>
        <v/>
      </c>
      <c r="D44" s="11">
        <f>MAX(0,C44*$B$23/12)</f>
        <v/>
      </c>
      <c r="E44" s="11">
        <f>MAX(0,MIN(C44,$B$24-D44))</f>
        <v/>
      </c>
      <c r="F44" s="11">
        <f>MAX(0,C44-E44)</f>
        <v/>
      </c>
    </row>
    <row r="45">
      <c r="A45" s="34" t="n">
        <v>10</v>
      </c>
      <c r="B45" s="34" t="inlineStr">
        <is>
          <t>2026-09-18</t>
        </is>
      </c>
      <c r="C45" s="11">
        <f>F44</f>
        <v/>
      </c>
      <c r="D45" s="11">
        <f>MAX(0,C45*$B$23/12)</f>
        <v/>
      </c>
      <c r="E45" s="11">
        <f>MAX(0,MIN(C45,$B$24-D45))</f>
        <v/>
      </c>
      <c r="F45" s="11">
        <f>MAX(0,C45-E45)</f>
        <v/>
      </c>
    </row>
    <row r="46">
      <c r="A46" s="34" t="n">
        <v>11</v>
      </c>
      <c r="B46" s="34" t="inlineStr">
        <is>
          <t>2026-10-18</t>
        </is>
      </c>
      <c r="C46" s="11">
        <f>F45</f>
        <v/>
      </c>
      <c r="D46" s="11">
        <f>MAX(0,C46*$B$23/12)</f>
        <v/>
      </c>
      <c r="E46" s="11">
        <f>MAX(0,MIN(C46,$B$24-D46))</f>
        <v/>
      </c>
      <c r="F46" s="11">
        <f>MAX(0,C46-E46)</f>
        <v/>
      </c>
    </row>
    <row r="47">
      <c r="A47" s="34" t="n">
        <v>12</v>
      </c>
      <c r="B47" s="34" t="inlineStr">
        <is>
          <t>2026-11-18</t>
        </is>
      </c>
      <c r="C47" s="11">
        <f>F46</f>
        <v/>
      </c>
      <c r="D47" s="11">
        <f>MAX(0,C47*$B$23/12)</f>
        <v/>
      </c>
      <c r="E47" s="11">
        <f>MAX(0,MIN(C47,$B$24-D47))</f>
        <v/>
      </c>
      <c r="F47" s="11">
        <f>MAX(0,C47-E47)</f>
        <v/>
      </c>
    </row>
    <row r="48">
      <c r="A48" s="34" t="n">
        <v>13</v>
      </c>
      <c r="B48" s="34" t="inlineStr">
        <is>
          <t>2026-12-18</t>
        </is>
      </c>
      <c r="C48" s="11">
        <f>F47</f>
        <v/>
      </c>
      <c r="D48" s="11">
        <f>MAX(0,C48*$B$23/12)</f>
        <v/>
      </c>
      <c r="E48" s="11">
        <f>MAX(0,MIN(C48,$B$24-D48))</f>
        <v/>
      </c>
      <c r="F48" s="11">
        <f>MAX(0,C48-E48)</f>
        <v/>
      </c>
    </row>
    <row r="49">
      <c r="A49" s="34" t="n">
        <v>14</v>
      </c>
      <c r="B49" s="34" t="inlineStr">
        <is>
          <t>2027-01-18</t>
        </is>
      </c>
      <c r="C49" s="11">
        <f>F48</f>
        <v/>
      </c>
      <c r="D49" s="11">
        <f>MAX(0,C49*$B$23/12)</f>
        <v/>
      </c>
      <c r="E49" s="11">
        <f>MAX(0,MIN(C49,$B$24-D49))</f>
        <v/>
      </c>
      <c r="F49" s="11">
        <f>MAX(0,C49-E49)</f>
        <v/>
      </c>
    </row>
    <row r="50">
      <c r="A50" s="34" t="n">
        <v>15</v>
      </c>
      <c r="B50" s="34" t="inlineStr">
        <is>
          <t>2027-02-18</t>
        </is>
      </c>
      <c r="C50" s="11">
        <f>F49</f>
        <v/>
      </c>
      <c r="D50" s="11">
        <f>MAX(0,C50*$B$23/12)</f>
        <v/>
      </c>
      <c r="E50" s="11">
        <f>MAX(0,MIN(C50,$B$24-D50))</f>
        <v/>
      </c>
      <c r="F50" s="11">
        <f>MAX(0,C50-E50)</f>
        <v/>
      </c>
    </row>
    <row r="51">
      <c r="A51" s="34" t="n">
        <v>16</v>
      </c>
      <c r="B51" s="34" t="inlineStr">
        <is>
          <t>2027-03-18</t>
        </is>
      </c>
      <c r="C51" s="11">
        <f>F50</f>
        <v/>
      </c>
      <c r="D51" s="11">
        <f>MAX(0,C51*$B$23/12)</f>
        <v/>
      </c>
      <c r="E51" s="11">
        <f>MAX(0,MIN(C51,$B$24-D51))</f>
        <v/>
      </c>
      <c r="F51" s="11">
        <f>MAX(0,C51-E51)</f>
        <v/>
      </c>
    </row>
    <row r="52">
      <c r="A52" s="34" t="n">
        <v>17</v>
      </c>
      <c r="B52" s="34" t="inlineStr">
        <is>
          <t>2027-04-18</t>
        </is>
      </c>
      <c r="C52" s="11">
        <f>F51</f>
        <v/>
      </c>
      <c r="D52" s="11">
        <f>MAX(0,C52*$B$23/12)</f>
        <v/>
      </c>
      <c r="E52" s="11">
        <f>MAX(0,MIN(C52,$B$24-D52))</f>
        <v/>
      </c>
      <c r="F52" s="11">
        <f>MAX(0,C52-E52)</f>
        <v/>
      </c>
    </row>
    <row r="53">
      <c r="A53" s="34" t="n">
        <v>18</v>
      </c>
      <c r="B53" s="34" t="inlineStr">
        <is>
          <t>2027-05-18</t>
        </is>
      </c>
      <c r="C53" s="11">
        <f>F52</f>
        <v/>
      </c>
      <c r="D53" s="11">
        <f>MAX(0,C53*$B$23/12)</f>
        <v/>
      </c>
      <c r="E53" s="11">
        <f>MAX(0,MIN(C53,$B$24-D53))</f>
        <v/>
      </c>
      <c r="F53" s="11">
        <f>MAX(0,C53-E53)</f>
        <v/>
      </c>
    </row>
    <row r="54">
      <c r="A54" s="34" t="n">
        <v>19</v>
      </c>
      <c r="B54" s="34" t="inlineStr">
        <is>
          <t>2027-06-18</t>
        </is>
      </c>
      <c r="C54" s="11">
        <f>F53</f>
        <v/>
      </c>
      <c r="D54" s="11">
        <f>MAX(0,C54*$B$23/12)</f>
        <v/>
      </c>
      <c r="E54" s="11">
        <f>MAX(0,MIN(C54,$B$24-D54))</f>
        <v/>
      </c>
      <c r="F54" s="11">
        <f>MAX(0,C54-E54)</f>
        <v/>
      </c>
    </row>
    <row r="55">
      <c r="A55" s="34" t="n">
        <v>20</v>
      </c>
      <c r="B55" s="34" t="inlineStr">
        <is>
          <t>2027-07-18</t>
        </is>
      </c>
      <c r="C55" s="11">
        <f>F54</f>
        <v/>
      </c>
      <c r="D55" s="11">
        <f>MAX(0,C55*$B$23/12)</f>
        <v/>
      </c>
      <c r="E55" s="11">
        <f>MAX(0,MIN(C55,$B$24-D55))</f>
        <v/>
      </c>
      <c r="F55" s="11">
        <f>MAX(0,C55-E55)</f>
        <v/>
      </c>
    </row>
    <row r="56">
      <c r="A56" s="34" t="n">
        <v>21</v>
      </c>
      <c r="B56" s="34" t="inlineStr">
        <is>
          <t>2027-08-18</t>
        </is>
      </c>
      <c r="C56" s="11">
        <f>F55</f>
        <v/>
      </c>
      <c r="D56" s="11">
        <f>MAX(0,C56*$B$23/12)</f>
        <v/>
      </c>
      <c r="E56" s="11">
        <f>MAX(0,MIN(C56,$B$24-D56))</f>
        <v/>
      </c>
      <c r="F56" s="11">
        <f>MAX(0,C56-E56)</f>
        <v/>
      </c>
    </row>
    <row r="57">
      <c r="A57" s="34" t="n">
        <v>22</v>
      </c>
      <c r="B57" s="34" t="inlineStr">
        <is>
          <t>2027-09-18</t>
        </is>
      </c>
      <c r="C57" s="11">
        <f>F56</f>
        <v/>
      </c>
      <c r="D57" s="11">
        <f>MAX(0,C57*$B$23/12)</f>
        <v/>
      </c>
      <c r="E57" s="11">
        <f>MAX(0,MIN(C57,$B$24-D57))</f>
        <v/>
      </c>
      <c r="F57" s="11">
        <f>MAX(0,C57-E57)</f>
        <v/>
      </c>
    </row>
    <row r="58">
      <c r="A58" s="34" t="n">
        <v>23</v>
      </c>
      <c r="B58" s="34" t="inlineStr">
        <is>
          <t>2027-10-18</t>
        </is>
      </c>
      <c r="C58" s="11">
        <f>F57</f>
        <v/>
      </c>
      <c r="D58" s="11">
        <f>MAX(0,C58*$B$23/12)</f>
        <v/>
      </c>
      <c r="E58" s="11">
        <f>MAX(0,MIN(C58,$B$24-D58))</f>
        <v/>
      </c>
      <c r="F58" s="11">
        <f>MAX(0,C58-E58)</f>
        <v/>
      </c>
    </row>
    <row r="59">
      <c r="A59" s="41" t="inlineStr">
        <is>
          <t>TOTAL</t>
        </is>
      </c>
      <c r="B59" s="34" t="inlineStr"/>
      <c r="C59" s="34" t="inlineStr"/>
      <c r="D59" s="42">
        <f>SUM(D36:D58)</f>
        <v/>
      </c>
      <c r="E59" s="42">
        <f>SUM(E36:E58)</f>
        <v/>
      </c>
      <c r="F59" s="34" t="inlineStr"/>
    </row>
    <row r="62">
      <c r="A62" s="39" t="inlineStr">
        <is>
          <t>LOAN 2: 1 Autocar Spotter (May 2022)</t>
        </is>
      </c>
    </row>
    <row r="63">
      <c r="A63" t="inlineStr">
        <is>
          <t>Loan ID:</t>
        </is>
      </c>
      <c r="B63" s="2" t="inlineStr">
        <is>
          <t>05-2984-004-000-00</t>
        </is>
      </c>
    </row>
    <row r="64">
      <c r="A64" t="inlineStr">
        <is>
          <t>Origination Date:</t>
        </is>
      </c>
      <c r="B64" s="2" t="inlineStr">
        <is>
          <t>2022-05-27</t>
        </is>
      </c>
    </row>
    <row r="65">
      <c r="A65" t="inlineStr">
        <is>
          <t>Maturity Date:</t>
        </is>
      </c>
      <c r="B65" s="2" t="inlineStr">
        <is>
          <t>2027-05-26</t>
        </is>
      </c>
    </row>
    <row r="66">
      <c r="A66" t="inlineStr">
        <is>
          <t>Opening Balance:</t>
        </is>
      </c>
      <c r="B66" s="3" t="n">
        <v>134500</v>
      </c>
    </row>
    <row r="67">
      <c r="A67" t="inlineStr">
        <is>
          <t>Remaining Balance:</t>
        </is>
      </c>
      <c r="B67" s="3" t="n">
        <v>43716</v>
      </c>
    </row>
    <row r="68">
      <c r="A68" t="inlineStr">
        <is>
          <t>Annual Rate:</t>
        </is>
      </c>
      <c r="B68" s="4" t="n">
        <v>0.04375</v>
      </c>
    </row>
    <row r="69">
      <c r="A69" t="inlineStr">
        <is>
          <t>Monthly Payment:</t>
        </is>
      </c>
      <c r="B69" s="3" t="n">
        <v>2499.85</v>
      </c>
    </row>
    <row r="70">
      <c r="A70" t="inlineStr">
        <is>
          <t>Loan Type:</t>
        </is>
      </c>
      <c r="B70" s="2" t="inlineStr">
        <is>
          <t>AMORTIZING</t>
        </is>
      </c>
    </row>
    <row r="71">
      <c r="A71" t="inlineStr">
        <is>
          <t>Use:</t>
        </is>
      </c>
      <c r="B71" s="2" t="inlineStr">
        <is>
          <t>Equipment (Spotter)</t>
        </is>
      </c>
    </row>
    <row r="73">
      <c r="A73" s="17" t="inlineStr">
        <is>
          <t>AI ANALYSIS</t>
        </is>
      </c>
    </row>
    <row r="74">
      <c r="A74" t="inlineStr">
        <is>
          <t>Loan Classification:</t>
        </is>
      </c>
      <c r="B74" s="6" t="inlineStr">
        <is>
          <t>AMORTIZING - Standard P&amp;I amortization</t>
        </is>
      </c>
    </row>
    <row r="75">
      <c r="A75" t="inlineStr">
        <is>
          <t>Months Since Origination:</t>
        </is>
      </c>
      <c r="B75" s="87" t="n">
        <v>42</v>
      </c>
    </row>
    <row r="76">
      <c r="A76" t="inlineStr">
        <is>
          <t>Months to Maturity:</t>
        </is>
      </c>
      <c r="B76" s="87" t="n">
        <v>18</v>
      </c>
    </row>
    <row r="77">
      <c r="A77" t="inlineStr">
        <is>
          <t>Amortization Notes:</t>
        </is>
      </c>
      <c r="B77" s="6" t="inlineStr">
        <is>
          <t>Monthly payment of $2,499.85 until maturity</t>
        </is>
      </c>
    </row>
    <row r="79">
      <c r="A79" s="39" t="inlineStr">
        <is>
          <t>AMORTIZATION SCHEDULE</t>
        </is>
      </c>
    </row>
    <row r="80">
      <c r="A80" s="88" t="inlineStr">
        <is>
          <t>Month #</t>
        </is>
      </c>
      <c r="B80" s="88" t="inlineStr">
        <is>
          <t>Date</t>
        </is>
      </c>
      <c r="C80" s="88" t="inlineStr">
        <is>
          <t>Opening</t>
        </is>
      </c>
      <c r="D80" s="88" t="inlineStr">
        <is>
          <t>Interest</t>
        </is>
      </c>
      <c r="E80" s="88" t="inlineStr">
        <is>
          <t>Principal</t>
        </is>
      </c>
      <c r="F80" s="88" t="inlineStr">
        <is>
          <t>Closing</t>
        </is>
      </c>
    </row>
    <row r="81">
      <c r="A81" s="34" t="n">
        <v>1</v>
      </c>
      <c r="B81" s="34" t="inlineStr">
        <is>
          <t>2025-12-27</t>
        </is>
      </c>
      <c r="C81" s="11">
        <f>43716</f>
        <v/>
      </c>
      <c r="D81" s="11">
        <f>MAX(0,C81*$B$68/12)</f>
        <v/>
      </c>
      <c r="E81" s="11">
        <f>MAX(0,MIN(C81,$B$69-D81))</f>
        <v/>
      </c>
      <c r="F81" s="11">
        <f>MAX(0,C81-E81)</f>
        <v/>
      </c>
    </row>
    <row r="82">
      <c r="A82" s="34" t="n">
        <v>2</v>
      </c>
      <c r="B82" s="34" t="inlineStr">
        <is>
          <t>2026-01-27</t>
        </is>
      </c>
      <c r="C82" s="11">
        <f>F81</f>
        <v/>
      </c>
      <c r="D82" s="11">
        <f>MAX(0,C82*$B$68/12)</f>
        <v/>
      </c>
      <c r="E82" s="11">
        <f>MAX(0,MIN(C82,$B$69-D82))</f>
        <v/>
      </c>
      <c r="F82" s="11">
        <f>MAX(0,C82-E82)</f>
        <v/>
      </c>
    </row>
    <row r="83">
      <c r="A83" s="34" t="n">
        <v>3</v>
      </c>
      <c r="B83" s="34" t="inlineStr">
        <is>
          <t>2026-02-27</t>
        </is>
      </c>
      <c r="C83" s="11">
        <f>F82</f>
        <v/>
      </c>
      <c r="D83" s="11">
        <f>MAX(0,C83*$B$68/12)</f>
        <v/>
      </c>
      <c r="E83" s="11">
        <f>MAX(0,MIN(C83,$B$69-D83))</f>
        <v/>
      </c>
      <c r="F83" s="11">
        <f>MAX(0,C83-E83)</f>
        <v/>
      </c>
    </row>
    <row r="84">
      <c r="A84" s="34" t="n">
        <v>4</v>
      </c>
      <c r="B84" s="34" t="inlineStr">
        <is>
          <t>2026-03-27</t>
        </is>
      </c>
      <c r="C84" s="11">
        <f>F83</f>
        <v/>
      </c>
      <c r="D84" s="11">
        <f>MAX(0,C84*$B$68/12)</f>
        <v/>
      </c>
      <c r="E84" s="11">
        <f>MAX(0,MIN(C84,$B$69-D84))</f>
        <v/>
      </c>
      <c r="F84" s="11">
        <f>MAX(0,C84-E84)</f>
        <v/>
      </c>
    </row>
    <row r="85">
      <c r="A85" s="34" t="n">
        <v>5</v>
      </c>
      <c r="B85" s="34" t="inlineStr">
        <is>
          <t>2026-04-27</t>
        </is>
      </c>
      <c r="C85" s="11">
        <f>F84</f>
        <v/>
      </c>
      <c r="D85" s="11">
        <f>MAX(0,C85*$B$68/12)</f>
        <v/>
      </c>
      <c r="E85" s="11">
        <f>MAX(0,MIN(C85,$B$69-D85))</f>
        <v/>
      </c>
      <c r="F85" s="11">
        <f>MAX(0,C85-E85)</f>
        <v/>
      </c>
    </row>
    <row r="86">
      <c r="A86" s="34" t="n">
        <v>6</v>
      </c>
      <c r="B86" s="34" t="inlineStr">
        <is>
          <t>2026-05-27</t>
        </is>
      </c>
      <c r="C86" s="11">
        <f>F85</f>
        <v/>
      </c>
      <c r="D86" s="11">
        <f>MAX(0,C86*$B$68/12)</f>
        <v/>
      </c>
      <c r="E86" s="11">
        <f>MAX(0,MIN(C86,$B$69-D86))</f>
        <v/>
      </c>
      <c r="F86" s="11">
        <f>MAX(0,C86-E86)</f>
        <v/>
      </c>
    </row>
    <row r="87">
      <c r="A87" s="34" t="n">
        <v>7</v>
      </c>
      <c r="B87" s="34" t="inlineStr">
        <is>
          <t>2026-06-27</t>
        </is>
      </c>
      <c r="C87" s="11">
        <f>F86</f>
        <v/>
      </c>
      <c r="D87" s="11">
        <f>MAX(0,C87*$B$68/12)</f>
        <v/>
      </c>
      <c r="E87" s="11">
        <f>MAX(0,MIN(C87,$B$69-D87))</f>
        <v/>
      </c>
      <c r="F87" s="11">
        <f>MAX(0,C87-E87)</f>
        <v/>
      </c>
    </row>
    <row r="88">
      <c r="A88" s="34" t="n">
        <v>8</v>
      </c>
      <c r="B88" s="34" t="inlineStr">
        <is>
          <t>2026-07-27</t>
        </is>
      </c>
      <c r="C88" s="11">
        <f>F87</f>
        <v/>
      </c>
      <c r="D88" s="11">
        <f>MAX(0,C88*$B$68/12)</f>
        <v/>
      </c>
      <c r="E88" s="11">
        <f>MAX(0,MIN(C88,$B$69-D88))</f>
        <v/>
      </c>
      <c r="F88" s="11">
        <f>MAX(0,C88-E88)</f>
        <v/>
      </c>
    </row>
    <row r="89">
      <c r="A89" s="34" t="n">
        <v>9</v>
      </c>
      <c r="B89" s="34" t="inlineStr">
        <is>
          <t>2026-08-27</t>
        </is>
      </c>
      <c r="C89" s="11">
        <f>F88</f>
        <v/>
      </c>
      <c r="D89" s="11">
        <f>MAX(0,C89*$B$68/12)</f>
        <v/>
      </c>
      <c r="E89" s="11">
        <f>MAX(0,MIN(C89,$B$69-D89))</f>
        <v/>
      </c>
      <c r="F89" s="11">
        <f>MAX(0,C89-E89)</f>
        <v/>
      </c>
    </row>
    <row r="90">
      <c r="A90" s="34" t="n">
        <v>10</v>
      </c>
      <c r="B90" s="34" t="inlineStr">
        <is>
          <t>2026-09-27</t>
        </is>
      </c>
      <c r="C90" s="11">
        <f>F89</f>
        <v/>
      </c>
      <c r="D90" s="11">
        <f>MAX(0,C90*$B$68/12)</f>
        <v/>
      </c>
      <c r="E90" s="11">
        <f>MAX(0,MIN(C90,$B$69-D90))</f>
        <v/>
      </c>
      <c r="F90" s="11">
        <f>MAX(0,C90-E90)</f>
        <v/>
      </c>
    </row>
    <row r="91">
      <c r="A91" s="34" t="n">
        <v>11</v>
      </c>
      <c r="B91" s="34" t="inlineStr">
        <is>
          <t>2026-10-27</t>
        </is>
      </c>
      <c r="C91" s="11">
        <f>F90</f>
        <v/>
      </c>
      <c r="D91" s="11">
        <f>MAX(0,C91*$B$68/12)</f>
        <v/>
      </c>
      <c r="E91" s="11">
        <f>MAX(0,MIN(C91,$B$69-D91))</f>
        <v/>
      </c>
      <c r="F91" s="11">
        <f>MAX(0,C91-E91)</f>
        <v/>
      </c>
    </row>
    <row r="92">
      <c r="A92" s="34" t="n">
        <v>12</v>
      </c>
      <c r="B92" s="34" t="inlineStr">
        <is>
          <t>2026-11-27</t>
        </is>
      </c>
      <c r="C92" s="11">
        <f>F91</f>
        <v/>
      </c>
      <c r="D92" s="11">
        <f>MAX(0,C92*$B$68/12)</f>
        <v/>
      </c>
      <c r="E92" s="11">
        <f>MAX(0,MIN(C92,$B$69-D92))</f>
        <v/>
      </c>
      <c r="F92" s="11">
        <f>MAX(0,C92-E92)</f>
        <v/>
      </c>
    </row>
    <row r="93">
      <c r="A93" s="34" t="n">
        <v>13</v>
      </c>
      <c r="B93" s="34" t="inlineStr">
        <is>
          <t>2026-12-27</t>
        </is>
      </c>
      <c r="C93" s="11">
        <f>F92</f>
        <v/>
      </c>
      <c r="D93" s="11">
        <f>MAX(0,C93*$B$68/12)</f>
        <v/>
      </c>
      <c r="E93" s="11">
        <f>MAX(0,MIN(C93,$B$69-D93))</f>
        <v/>
      </c>
      <c r="F93" s="11">
        <f>MAX(0,C93-E93)</f>
        <v/>
      </c>
    </row>
    <row r="94">
      <c r="A94" s="34" t="n">
        <v>14</v>
      </c>
      <c r="B94" s="34" t="inlineStr">
        <is>
          <t>2027-01-27</t>
        </is>
      </c>
      <c r="C94" s="11">
        <f>F93</f>
        <v/>
      </c>
      <c r="D94" s="11">
        <f>MAX(0,C94*$B$68/12)</f>
        <v/>
      </c>
      <c r="E94" s="11">
        <f>MAX(0,MIN(C94,$B$69-D94))</f>
        <v/>
      </c>
      <c r="F94" s="11">
        <f>MAX(0,C94-E94)</f>
        <v/>
      </c>
    </row>
    <row r="95">
      <c r="A95" s="34" t="n">
        <v>15</v>
      </c>
      <c r="B95" s="34" t="inlineStr">
        <is>
          <t>2027-02-27</t>
        </is>
      </c>
      <c r="C95" s="11">
        <f>F94</f>
        <v/>
      </c>
      <c r="D95" s="11">
        <f>MAX(0,C95*$B$68/12)</f>
        <v/>
      </c>
      <c r="E95" s="11">
        <f>MAX(0,MIN(C95,$B$69-D95))</f>
        <v/>
      </c>
      <c r="F95" s="11">
        <f>MAX(0,C95-E95)</f>
        <v/>
      </c>
    </row>
    <row r="96">
      <c r="A96" s="34" t="n">
        <v>16</v>
      </c>
      <c r="B96" s="34" t="inlineStr">
        <is>
          <t>2027-03-27</t>
        </is>
      </c>
      <c r="C96" s="11">
        <f>F95</f>
        <v/>
      </c>
      <c r="D96" s="11">
        <f>MAX(0,C96*$B$68/12)</f>
        <v/>
      </c>
      <c r="E96" s="11">
        <f>MAX(0,MIN(C96,$B$69-D96))</f>
        <v/>
      </c>
      <c r="F96" s="11">
        <f>MAX(0,C96-E96)</f>
        <v/>
      </c>
    </row>
    <row r="97">
      <c r="A97" s="34" t="n">
        <v>17</v>
      </c>
      <c r="B97" s="34" t="inlineStr">
        <is>
          <t>2027-04-27</t>
        </is>
      </c>
      <c r="C97" s="11">
        <f>F96</f>
        <v/>
      </c>
      <c r="D97" s="11">
        <f>MAX(0,C97*$B$68/12)</f>
        <v/>
      </c>
      <c r="E97" s="11">
        <f>MAX(0,MIN(C97,$B$69-D97))</f>
        <v/>
      </c>
      <c r="F97" s="11">
        <f>MAX(0,C97-E97)</f>
        <v/>
      </c>
    </row>
    <row r="98">
      <c r="A98" s="34" t="n">
        <v>18</v>
      </c>
      <c r="B98" s="34" t="inlineStr">
        <is>
          <t>2027-05-27</t>
        </is>
      </c>
      <c r="C98" s="11">
        <f>F97</f>
        <v/>
      </c>
      <c r="D98" s="11">
        <f>MAX(0,C98*$B$68/12)</f>
        <v/>
      </c>
      <c r="E98" s="11">
        <f>MAX(0,MIN(C98,$B$69-D98))</f>
        <v/>
      </c>
      <c r="F98" s="11">
        <f>MAX(0,C98-E98)</f>
        <v/>
      </c>
    </row>
    <row r="99">
      <c r="A99" s="34" t="n">
        <v>19</v>
      </c>
      <c r="B99" s="34" t="inlineStr">
        <is>
          <t>2027-06-27</t>
        </is>
      </c>
      <c r="C99" s="11">
        <f>F98</f>
        <v/>
      </c>
      <c r="D99" s="11">
        <f>MAX(0,C99*$B$68/12)</f>
        <v/>
      </c>
      <c r="E99" s="11">
        <f>MAX(0,MIN(C99,$B$69-D99))</f>
        <v/>
      </c>
      <c r="F99" s="11">
        <f>MAX(0,C99-E99)</f>
        <v/>
      </c>
    </row>
    <row r="100">
      <c r="A100" s="34" t="n">
        <v>20</v>
      </c>
      <c r="B100" s="34" t="inlineStr">
        <is>
          <t>2027-07-27</t>
        </is>
      </c>
      <c r="C100" s="11">
        <f>F99</f>
        <v/>
      </c>
      <c r="D100" s="11">
        <f>MAX(0,C100*$B$68/12)</f>
        <v/>
      </c>
      <c r="E100" s="11">
        <f>MAX(0,MIN(C100,$B$69-D100))</f>
        <v/>
      </c>
      <c r="F100" s="11">
        <f>MAX(0,C100-E100)</f>
        <v/>
      </c>
    </row>
    <row r="101">
      <c r="A101" s="41" t="inlineStr">
        <is>
          <t>TOTAL</t>
        </is>
      </c>
      <c r="B101" s="34" t="inlineStr"/>
      <c r="C101" s="34" t="inlineStr"/>
      <c r="D101" s="42">
        <f>SUM(D81:D100)</f>
        <v/>
      </c>
      <c r="E101" s="42">
        <f>SUM(E81:E100)</f>
        <v/>
      </c>
      <c r="F101" s="34" t="inlineStr"/>
    </row>
    <row r="104">
      <c r="A104" s="39" t="inlineStr">
        <is>
          <t>LOAN 3: 4 Forklifts (Nov 2022)</t>
        </is>
      </c>
    </row>
    <row r="105">
      <c r="A105" t="inlineStr">
        <is>
          <t>Loan ID:</t>
        </is>
      </c>
      <c r="B105" s="2" t="inlineStr">
        <is>
          <t>05-2986-000-000-00</t>
        </is>
      </c>
    </row>
    <row r="106">
      <c r="A106" t="inlineStr">
        <is>
          <t>Origination Date:</t>
        </is>
      </c>
      <c r="B106" s="2" t="inlineStr">
        <is>
          <t>2022-11-01</t>
        </is>
      </c>
    </row>
    <row r="107">
      <c r="A107" t="inlineStr">
        <is>
          <t>Maturity Date:</t>
        </is>
      </c>
      <c r="B107" s="2" t="inlineStr">
        <is>
          <t>2025-11-01</t>
        </is>
      </c>
    </row>
    <row r="108">
      <c r="A108" t="inlineStr">
        <is>
          <t>Opening Balance:</t>
        </is>
      </c>
      <c r="B108" s="3" t="n">
        <v>241289.25</v>
      </c>
    </row>
    <row r="109">
      <c r="A109" t="inlineStr">
        <is>
          <t>Remaining Balance:</t>
        </is>
      </c>
      <c r="B109" s="3" t="n">
        <v>287</v>
      </c>
    </row>
    <row r="110">
      <c r="A110" t="inlineStr">
        <is>
          <t>Annual Rate:</t>
        </is>
      </c>
      <c r="B110" s="4" t="n">
        <v>0.0645</v>
      </c>
    </row>
    <row r="111">
      <c r="A111" t="inlineStr">
        <is>
          <t>Monthly Payment:</t>
        </is>
      </c>
      <c r="B111" s="3" t="n">
        <v>7390.08</v>
      </c>
    </row>
    <row r="112">
      <c r="A112" t="inlineStr">
        <is>
          <t>Loan Type:</t>
        </is>
      </c>
      <c r="B112" s="2" t="inlineStr">
        <is>
          <t>AMORTIZING</t>
        </is>
      </c>
    </row>
    <row r="113">
      <c r="A113" t="inlineStr">
        <is>
          <t>Use:</t>
        </is>
      </c>
      <c r="B113" s="2" t="inlineStr">
        <is>
          <t>Equipment (Forklifts)</t>
        </is>
      </c>
    </row>
    <row r="114">
      <c r="A114" t="inlineStr">
        <is>
          <t>Note:</t>
        </is>
      </c>
      <c r="B114" s="6" t="inlineStr">
        <is>
          <t>Near payoff</t>
        </is>
      </c>
    </row>
    <row r="116">
      <c r="A116" s="17" t="inlineStr">
        <is>
          <t>AI ANALYSIS</t>
        </is>
      </c>
    </row>
    <row r="117">
      <c r="A117" t="inlineStr">
        <is>
          <t>Loan Classification:</t>
        </is>
      </c>
      <c r="B117" s="6" t="inlineStr">
        <is>
          <t>AMORTIZING - Standard P&amp;I amortization</t>
        </is>
      </c>
    </row>
    <row r="118">
      <c r="A118" t="inlineStr">
        <is>
          <t>Months Since Origination:</t>
        </is>
      </c>
      <c r="B118" s="87" t="n">
        <v>36</v>
      </c>
    </row>
    <row r="119">
      <c r="A119" t="inlineStr">
        <is>
          <t>Months to Maturity:</t>
        </is>
      </c>
      <c r="B119" s="87" t="n">
        <v>0</v>
      </c>
    </row>
    <row r="120">
      <c r="A120" t="inlineStr">
        <is>
          <t>Amortization Notes:</t>
        </is>
      </c>
      <c r="B120" s="6" t="inlineStr">
        <is>
          <t>Monthly payment of $7,390.08 until maturity</t>
        </is>
      </c>
    </row>
    <row r="122">
      <c r="A122" s="39" t="inlineStr">
        <is>
          <t>AMORTIZATION SCHEDULE</t>
        </is>
      </c>
    </row>
    <row r="123">
      <c r="A123" s="88" t="inlineStr">
        <is>
          <t>Month #</t>
        </is>
      </c>
      <c r="B123" s="88" t="inlineStr">
        <is>
          <t>Date</t>
        </is>
      </c>
      <c r="C123" s="88" t="inlineStr">
        <is>
          <t>Opening</t>
        </is>
      </c>
      <c r="D123" s="88" t="inlineStr">
        <is>
          <t>Interest</t>
        </is>
      </c>
      <c r="E123" s="88" t="inlineStr">
        <is>
          <t>Principal</t>
        </is>
      </c>
      <c r="F123" s="88" t="inlineStr">
        <is>
          <t>Closing</t>
        </is>
      </c>
    </row>
    <row r="124">
      <c r="A124" s="34" t="n">
        <v>1</v>
      </c>
      <c r="B124" s="34" t="inlineStr">
        <is>
          <t>2025-12-01</t>
        </is>
      </c>
      <c r="C124" s="11">
        <f>287</f>
        <v/>
      </c>
      <c r="D124" s="11">
        <f>MAX(0,C124*$B$110/12)</f>
        <v/>
      </c>
      <c r="E124" s="11">
        <f>MAX(0,MIN(C124,$B$111-D124))</f>
        <v/>
      </c>
      <c r="F124" s="11">
        <f>MAX(0,C124-E124)</f>
        <v/>
      </c>
    </row>
    <row r="125">
      <c r="A125" s="34" t="n">
        <v>2</v>
      </c>
      <c r="B125" s="34" t="inlineStr">
        <is>
          <t>2026-01-01</t>
        </is>
      </c>
      <c r="C125" s="11">
        <f>F124</f>
        <v/>
      </c>
      <c r="D125" s="11">
        <f>MAX(0,C125*$B$110/12)</f>
        <v/>
      </c>
      <c r="E125" s="11">
        <f>MAX(0,MIN(C125,$B$111-D125))</f>
        <v/>
      </c>
      <c r="F125" s="11">
        <f>MAX(0,C125-E125)</f>
        <v/>
      </c>
    </row>
    <row r="126">
      <c r="A126" s="41" t="inlineStr">
        <is>
          <t>TOTAL</t>
        </is>
      </c>
      <c r="B126" s="34" t="inlineStr"/>
      <c r="C126" s="34" t="inlineStr"/>
      <c r="D126" s="42">
        <f>SUM(D124:D125)</f>
        <v/>
      </c>
      <c r="E126" s="42">
        <f>SUM(E124:E125)</f>
        <v/>
      </c>
      <c r="F126" s="34" t="inlineStr"/>
    </row>
    <row r="129">
      <c r="A129" s="39" t="inlineStr">
        <is>
          <t>LOAN 4: 1 Electric Forklift (July 2024)</t>
        </is>
      </c>
    </row>
    <row r="130">
      <c r="A130" t="inlineStr">
        <is>
          <t>Loan ID:</t>
        </is>
      </c>
      <c r="B130" s="2" t="inlineStr">
        <is>
          <t>05-2984-009-000-00</t>
        </is>
      </c>
    </row>
    <row r="131">
      <c r="A131" t="inlineStr">
        <is>
          <t>Origination Date:</t>
        </is>
      </c>
      <c r="B131" s="2" t="inlineStr">
        <is>
          <t>2024-07-03</t>
        </is>
      </c>
    </row>
    <row r="132">
      <c r="A132" t="inlineStr">
        <is>
          <t>Maturity Date:</t>
        </is>
      </c>
      <c r="B132" s="2" t="inlineStr">
        <is>
          <t>2027-07-03</t>
        </is>
      </c>
    </row>
    <row r="133">
      <c r="A133" t="inlineStr">
        <is>
          <t>Opening Balance:</t>
        </is>
      </c>
      <c r="B133" s="3" t="n">
        <v>34423.5</v>
      </c>
    </row>
    <row r="134">
      <c r="A134" t="inlineStr">
        <is>
          <t>Remaining Balance:</t>
        </is>
      </c>
      <c r="B134" s="3" t="n">
        <v>20073</v>
      </c>
    </row>
    <row r="135">
      <c r="A135" t="inlineStr">
        <is>
          <t>Annual Rate:</t>
        </is>
      </c>
      <c r="B135" s="4" t="n">
        <v>0.0726</v>
      </c>
    </row>
    <row r="136">
      <c r="A136" t="inlineStr">
        <is>
          <t>Monthly Payment:</t>
        </is>
      </c>
      <c r="B136" s="3" t="n">
        <v>1066.94</v>
      </c>
    </row>
    <row r="137">
      <c r="A137" t="inlineStr">
        <is>
          <t>Loan Type:</t>
        </is>
      </c>
      <c r="B137" s="2" t="inlineStr">
        <is>
          <t>AMORTIZING</t>
        </is>
      </c>
    </row>
    <row r="138">
      <c r="A138" t="inlineStr">
        <is>
          <t>Use:</t>
        </is>
      </c>
      <c r="B138" s="2" t="inlineStr">
        <is>
          <t>Equipment (Forklift)</t>
        </is>
      </c>
    </row>
    <row r="140">
      <c r="A140" s="17" t="inlineStr">
        <is>
          <t>AI ANALYSIS</t>
        </is>
      </c>
    </row>
    <row r="141">
      <c r="A141" t="inlineStr">
        <is>
          <t>Loan Classification:</t>
        </is>
      </c>
      <c r="B141" s="6" t="inlineStr">
        <is>
          <t>AMORTIZING - Standard P&amp;I amortization</t>
        </is>
      </c>
    </row>
    <row r="142">
      <c r="A142" t="inlineStr">
        <is>
          <t>Months Since Origination:</t>
        </is>
      </c>
      <c r="B142" s="87" t="n">
        <v>16</v>
      </c>
    </row>
    <row r="143">
      <c r="A143" t="inlineStr">
        <is>
          <t>Months to Maturity:</t>
        </is>
      </c>
      <c r="B143" s="87" t="n">
        <v>20</v>
      </c>
    </row>
    <row r="144">
      <c r="A144" t="inlineStr">
        <is>
          <t>Amortization Notes:</t>
        </is>
      </c>
      <c r="B144" s="6" t="inlineStr">
        <is>
          <t>Monthly payment of $1,066.94 until maturity</t>
        </is>
      </c>
    </row>
    <row r="146">
      <c r="A146" s="39" t="inlineStr">
        <is>
          <t>AMORTIZATION SCHEDULE</t>
        </is>
      </c>
    </row>
    <row r="147">
      <c r="A147" s="88" t="inlineStr">
        <is>
          <t>Month #</t>
        </is>
      </c>
      <c r="B147" s="88" t="inlineStr">
        <is>
          <t>Date</t>
        </is>
      </c>
      <c r="C147" s="88" t="inlineStr">
        <is>
          <t>Opening</t>
        </is>
      </c>
      <c r="D147" s="88" t="inlineStr">
        <is>
          <t>Interest</t>
        </is>
      </c>
      <c r="E147" s="88" t="inlineStr">
        <is>
          <t>Principal</t>
        </is>
      </c>
      <c r="F147" s="88" t="inlineStr">
        <is>
          <t>Closing</t>
        </is>
      </c>
    </row>
    <row r="148">
      <c r="A148" s="34" t="n">
        <v>1</v>
      </c>
      <c r="B148" s="34" t="inlineStr">
        <is>
          <t>2025-12-03</t>
        </is>
      </c>
      <c r="C148" s="11">
        <f>20073</f>
        <v/>
      </c>
      <c r="D148" s="11">
        <f>MAX(0,C148*$B$135/12)</f>
        <v/>
      </c>
      <c r="E148" s="11">
        <f>MAX(0,MIN(C148,$B$136-D148))</f>
        <v/>
      </c>
      <c r="F148" s="11">
        <f>MAX(0,C148-E148)</f>
        <v/>
      </c>
    </row>
    <row r="149">
      <c r="A149" s="34" t="n">
        <v>2</v>
      </c>
      <c r="B149" s="34" t="inlineStr">
        <is>
          <t>2026-01-03</t>
        </is>
      </c>
      <c r="C149" s="11">
        <f>F148</f>
        <v/>
      </c>
      <c r="D149" s="11">
        <f>MAX(0,C149*$B$135/12)</f>
        <v/>
      </c>
      <c r="E149" s="11">
        <f>MAX(0,MIN(C149,$B$136-D149))</f>
        <v/>
      </c>
      <c r="F149" s="11">
        <f>MAX(0,C149-E149)</f>
        <v/>
      </c>
    </row>
    <row r="150">
      <c r="A150" s="34" t="n">
        <v>3</v>
      </c>
      <c r="B150" s="34" t="inlineStr">
        <is>
          <t>2026-02-03</t>
        </is>
      </c>
      <c r="C150" s="11">
        <f>F149</f>
        <v/>
      </c>
      <c r="D150" s="11">
        <f>MAX(0,C150*$B$135/12)</f>
        <v/>
      </c>
      <c r="E150" s="11">
        <f>MAX(0,MIN(C150,$B$136-D150))</f>
        <v/>
      </c>
      <c r="F150" s="11">
        <f>MAX(0,C150-E150)</f>
        <v/>
      </c>
    </row>
    <row r="151">
      <c r="A151" s="34" t="n">
        <v>4</v>
      </c>
      <c r="B151" s="34" t="inlineStr">
        <is>
          <t>2026-03-03</t>
        </is>
      </c>
      <c r="C151" s="11">
        <f>F150</f>
        <v/>
      </c>
      <c r="D151" s="11">
        <f>MAX(0,C151*$B$135/12)</f>
        <v/>
      </c>
      <c r="E151" s="11">
        <f>MAX(0,MIN(C151,$B$136-D151))</f>
        <v/>
      </c>
      <c r="F151" s="11">
        <f>MAX(0,C151-E151)</f>
        <v/>
      </c>
    </row>
    <row r="152">
      <c r="A152" s="34" t="n">
        <v>5</v>
      </c>
      <c r="B152" s="34" t="inlineStr">
        <is>
          <t>2026-04-03</t>
        </is>
      </c>
      <c r="C152" s="11">
        <f>F151</f>
        <v/>
      </c>
      <c r="D152" s="11">
        <f>MAX(0,C152*$B$135/12)</f>
        <v/>
      </c>
      <c r="E152" s="11">
        <f>MAX(0,MIN(C152,$B$136-D152))</f>
        <v/>
      </c>
      <c r="F152" s="11">
        <f>MAX(0,C152-E152)</f>
        <v/>
      </c>
    </row>
    <row r="153">
      <c r="A153" s="34" t="n">
        <v>6</v>
      </c>
      <c r="B153" s="34" t="inlineStr">
        <is>
          <t>2026-05-03</t>
        </is>
      </c>
      <c r="C153" s="11">
        <f>F152</f>
        <v/>
      </c>
      <c r="D153" s="11">
        <f>MAX(0,C153*$B$135/12)</f>
        <v/>
      </c>
      <c r="E153" s="11">
        <f>MAX(0,MIN(C153,$B$136-D153))</f>
        <v/>
      </c>
      <c r="F153" s="11">
        <f>MAX(0,C153-E153)</f>
        <v/>
      </c>
    </row>
    <row r="154">
      <c r="A154" s="34" t="n">
        <v>7</v>
      </c>
      <c r="B154" s="34" t="inlineStr">
        <is>
          <t>2026-06-03</t>
        </is>
      </c>
      <c r="C154" s="11">
        <f>F153</f>
        <v/>
      </c>
      <c r="D154" s="11">
        <f>MAX(0,C154*$B$135/12)</f>
        <v/>
      </c>
      <c r="E154" s="11">
        <f>MAX(0,MIN(C154,$B$136-D154))</f>
        <v/>
      </c>
      <c r="F154" s="11">
        <f>MAX(0,C154-E154)</f>
        <v/>
      </c>
    </row>
    <row r="155">
      <c r="A155" s="34" t="n">
        <v>8</v>
      </c>
      <c r="B155" s="34" t="inlineStr">
        <is>
          <t>2026-07-03</t>
        </is>
      </c>
      <c r="C155" s="11">
        <f>F154</f>
        <v/>
      </c>
      <c r="D155" s="11">
        <f>MAX(0,C155*$B$135/12)</f>
        <v/>
      </c>
      <c r="E155" s="11">
        <f>MAX(0,MIN(C155,$B$136-D155))</f>
        <v/>
      </c>
      <c r="F155" s="11">
        <f>MAX(0,C155-E155)</f>
        <v/>
      </c>
    </row>
    <row r="156">
      <c r="A156" s="34" t="n">
        <v>9</v>
      </c>
      <c r="B156" s="34" t="inlineStr">
        <is>
          <t>2026-08-03</t>
        </is>
      </c>
      <c r="C156" s="11">
        <f>F155</f>
        <v/>
      </c>
      <c r="D156" s="11">
        <f>MAX(0,C156*$B$135/12)</f>
        <v/>
      </c>
      <c r="E156" s="11">
        <f>MAX(0,MIN(C156,$B$136-D156))</f>
        <v/>
      </c>
      <c r="F156" s="11">
        <f>MAX(0,C156-E156)</f>
        <v/>
      </c>
    </row>
    <row r="157">
      <c r="A157" s="34" t="n">
        <v>10</v>
      </c>
      <c r="B157" s="34" t="inlineStr">
        <is>
          <t>2026-09-03</t>
        </is>
      </c>
      <c r="C157" s="11">
        <f>F156</f>
        <v/>
      </c>
      <c r="D157" s="11">
        <f>MAX(0,C157*$B$135/12)</f>
        <v/>
      </c>
      <c r="E157" s="11">
        <f>MAX(0,MIN(C157,$B$136-D157))</f>
        <v/>
      </c>
      <c r="F157" s="11">
        <f>MAX(0,C157-E157)</f>
        <v/>
      </c>
    </row>
    <row r="158">
      <c r="A158" s="34" t="n">
        <v>11</v>
      </c>
      <c r="B158" s="34" t="inlineStr">
        <is>
          <t>2026-10-03</t>
        </is>
      </c>
      <c r="C158" s="11">
        <f>F157</f>
        <v/>
      </c>
      <c r="D158" s="11">
        <f>MAX(0,C158*$B$135/12)</f>
        <v/>
      </c>
      <c r="E158" s="11">
        <f>MAX(0,MIN(C158,$B$136-D158))</f>
        <v/>
      </c>
      <c r="F158" s="11">
        <f>MAX(0,C158-E158)</f>
        <v/>
      </c>
    </row>
    <row r="159">
      <c r="A159" s="34" t="n">
        <v>12</v>
      </c>
      <c r="B159" s="34" t="inlineStr">
        <is>
          <t>2026-11-03</t>
        </is>
      </c>
      <c r="C159" s="11">
        <f>F158</f>
        <v/>
      </c>
      <c r="D159" s="11">
        <f>MAX(0,C159*$B$135/12)</f>
        <v/>
      </c>
      <c r="E159" s="11">
        <f>MAX(0,MIN(C159,$B$136-D159))</f>
        <v/>
      </c>
      <c r="F159" s="11">
        <f>MAX(0,C159-E159)</f>
        <v/>
      </c>
    </row>
    <row r="160">
      <c r="A160" s="34" t="n">
        <v>13</v>
      </c>
      <c r="B160" s="34" t="inlineStr">
        <is>
          <t>2026-12-03</t>
        </is>
      </c>
      <c r="C160" s="11">
        <f>F159</f>
        <v/>
      </c>
      <c r="D160" s="11">
        <f>MAX(0,C160*$B$135/12)</f>
        <v/>
      </c>
      <c r="E160" s="11">
        <f>MAX(0,MIN(C160,$B$136-D160))</f>
        <v/>
      </c>
      <c r="F160" s="11">
        <f>MAX(0,C160-E160)</f>
        <v/>
      </c>
    </row>
    <row r="161">
      <c r="A161" s="34" t="n">
        <v>14</v>
      </c>
      <c r="B161" s="34" t="inlineStr">
        <is>
          <t>2027-01-03</t>
        </is>
      </c>
      <c r="C161" s="11">
        <f>F160</f>
        <v/>
      </c>
      <c r="D161" s="11">
        <f>MAX(0,C161*$B$135/12)</f>
        <v/>
      </c>
      <c r="E161" s="11">
        <f>MAX(0,MIN(C161,$B$136-D161))</f>
        <v/>
      </c>
      <c r="F161" s="11">
        <f>MAX(0,C161-E161)</f>
        <v/>
      </c>
    </row>
    <row r="162">
      <c r="A162" s="34" t="n">
        <v>15</v>
      </c>
      <c r="B162" s="34" t="inlineStr">
        <is>
          <t>2027-02-03</t>
        </is>
      </c>
      <c r="C162" s="11">
        <f>F161</f>
        <v/>
      </c>
      <c r="D162" s="11">
        <f>MAX(0,C162*$B$135/12)</f>
        <v/>
      </c>
      <c r="E162" s="11">
        <f>MAX(0,MIN(C162,$B$136-D162))</f>
        <v/>
      </c>
      <c r="F162" s="11">
        <f>MAX(0,C162-E162)</f>
        <v/>
      </c>
    </row>
    <row r="163">
      <c r="A163" s="34" t="n">
        <v>16</v>
      </c>
      <c r="B163" s="34" t="inlineStr">
        <is>
          <t>2027-03-03</t>
        </is>
      </c>
      <c r="C163" s="11">
        <f>F162</f>
        <v/>
      </c>
      <c r="D163" s="11">
        <f>MAX(0,C163*$B$135/12)</f>
        <v/>
      </c>
      <c r="E163" s="11">
        <f>MAX(0,MIN(C163,$B$136-D163))</f>
        <v/>
      </c>
      <c r="F163" s="11">
        <f>MAX(0,C163-E163)</f>
        <v/>
      </c>
    </row>
    <row r="164">
      <c r="A164" s="34" t="n">
        <v>17</v>
      </c>
      <c r="B164" s="34" t="inlineStr">
        <is>
          <t>2027-04-03</t>
        </is>
      </c>
      <c r="C164" s="11">
        <f>F163</f>
        <v/>
      </c>
      <c r="D164" s="11">
        <f>MAX(0,C164*$B$135/12)</f>
        <v/>
      </c>
      <c r="E164" s="11">
        <f>MAX(0,MIN(C164,$B$136-D164))</f>
        <v/>
      </c>
      <c r="F164" s="11">
        <f>MAX(0,C164-E164)</f>
        <v/>
      </c>
    </row>
    <row r="165">
      <c r="A165" s="34" t="n">
        <v>18</v>
      </c>
      <c r="B165" s="34" t="inlineStr">
        <is>
          <t>2027-05-03</t>
        </is>
      </c>
      <c r="C165" s="11">
        <f>F164</f>
        <v/>
      </c>
      <c r="D165" s="11">
        <f>MAX(0,C165*$B$135/12)</f>
        <v/>
      </c>
      <c r="E165" s="11">
        <f>MAX(0,MIN(C165,$B$136-D165))</f>
        <v/>
      </c>
      <c r="F165" s="11">
        <f>MAX(0,C165-E165)</f>
        <v/>
      </c>
    </row>
    <row r="166">
      <c r="A166" s="34" t="n">
        <v>19</v>
      </c>
      <c r="B166" s="34" t="inlineStr">
        <is>
          <t>2027-06-03</t>
        </is>
      </c>
      <c r="C166" s="11">
        <f>F165</f>
        <v/>
      </c>
      <c r="D166" s="11">
        <f>MAX(0,C166*$B$135/12)</f>
        <v/>
      </c>
      <c r="E166" s="11">
        <f>MAX(0,MIN(C166,$B$136-D166))</f>
        <v/>
      </c>
      <c r="F166" s="11">
        <f>MAX(0,C166-E166)</f>
        <v/>
      </c>
    </row>
    <row r="167">
      <c r="A167" s="34" t="n">
        <v>20</v>
      </c>
      <c r="B167" s="34" t="inlineStr">
        <is>
          <t>2027-07-03</t>
        </is>
      </c>
      <c r="C167" s="11">
        <f>F166</f>
        <v/>
      </c>
      <c r="D167" s="11">
        <f>MAX(0,C167*$B$135/12)</f>
        <v/>
      </c>
      <c r="E167" s="11">
        <f>MAX(0,MIN(C167,$B$136-D167))</f>
        <v/>
      </c>
      <c r="F167" s="11">
        <f>MAX(0,C167-E167)</f>
        <v/>
      </c>
    </row>
    <row r="168">
      <c r="A168" s="34" t="n">
        <v>21</v>
      </c>
      <c r="B168" s="34" t="inlineStr">
        <is>
          <t>2027-08-03</t>
        </is>
      </c>
      <c r="C168" s="11">
        <f>F167</f>
        <v/>
      </c>
      <c r="D168" s="11">
        <f>MAX(0,C168*$B$135/12)</f>
        <v/>
      </c>
      <c r="E168" s="11">
        <f>MAX(0,MIN(C168,$B$136-D168))</f>
        <v/>
      </c>
      <c r="F168" s="11">
        <f>MAX(0,C168-E168)</f>
        <v/>
      </c>
    </row>
    <row r="169">
      <c r="A169" s="34" t="n">
        <v>22</v>
      </c>
      <c r="B169" s="34" t="inlineStr">
        <is>
          <t>2027-09-03</t>
        </is>
      </c>
      <c r="C169" s="11">
        <f>F168</f>
        <v/>
      </c>
      <c r="D169" s="11">
        <f>MAX(0,C169*$B$135/12)</f>
        <v/>
      </c>
      <c r="E169" s="11">
        <f>MAX(0,MIN(C169,$B$136-D169))</f>
        <v/>
      </c>
      <c r="F169" s="11">
        <f>MAX(0,C169-E169)</f>
        <v/>
      </c>
    </row>
    <row r="170">
      <c r="A170" s="41" t="inlineStr">
        <is>
          <t>TOTAL</t>
        </is>
      </c>
      <c r="B170" s="34" t="inlineStr"/>
      <c r="C170" s="34" t="inlineStr"/>
      <c r="D170" s="42">
        <f>SUM(D148:D169)</f>
        <v/>
      </c>
      <c r="E170" s="42">
        <f>SUM(E148:E169)</f>
        <v/>
      </c>
      <c r="F170" s="34" t="inlineStr"/>
    </row>
    <row r="173">
      <c r="A173" s="39" t="inlineStr">
        <is>
          <t>LOAN 5: 25 Trailers (July 2024)</t>
        </is>
      </c>
    </row>
    <row r="174">
      <c r="A174" t="inlineStr">
        <is>
          <t>Loan ID:</t>
        </is>
      </c>
      <c r="B174" s="2" t="inlineStr">
        <is>
          <t>05-2986-001-000-00</t>
        </is>
      </c>
    </row>
    <row r="175">
      <c r="A175" t="inlineStr">
        <is>
          <t>Origination Date:</t>
        </is>
      </c>
      <c r="B175" s="2" t="inlineStr">
        <is>
          <t>2024-07-22</t>
        </is>
      </c>
    </row>
    <row r="176">
      <c r="A176" t="inlineStr">
        <is>
          <t>Maturity Date:</t>
        </is>
      </c>
      <c r="B176" s="2" t="inlineStr">
        <is>
          <t>2031-07-22</t>
        </is>
      </c>
    </row>
    <row r="177">
      <c r="A177" t="inlineStr">
        <is>
          <t>Opening Balance:</t>
        </is>
      </c>
      <c r="B177" s="3" t="n">
        <v>1302600</v>
      </c>
    </row>
    <row r="178">
      <c r="A178" t="inlineStr">
        <is>
          <t>Remaining Balance:</t>
        </is>
      </c>
      <c r="B178" s="3" t="n">
        <v>1095892</v>
      </c>
    </row>
    <row r="179">
      <c r="A179" t="inlineStr">
        <is>
          <t>Annual Rate:</t>
        </is>
      </c>
      <c r="B179" s="4" t="n">
        <v>0.0619</v>
      </c>
    </row>
    <row r="180">
      <c r="A180" t="inlineStr">
        <is>
          <t>Monthly Payment:</t>
        </is>
      </c>
      <c r="B180" s="3" t="n">
        <v>19147.18</v>
      </c>
    </row>
    <row r="181">
      <c r="A181" t="inlineStr">
        <is>
          <t>Loan Type:</t>
        </is>
      </c>
      <c r="B181" s="2" t="inlineStr">
        <is>
          <t>AMORTIZING</t>
        </is>
      </c>
    </row>
    <row r="182">
      <c r="A182" t="inlineStr">
        <is>
          <t>Use:</t>
        </is>
      </c>
      <c r="B182" s="2" t="inlineStr">
        <is>
          <t>Equipment (Trailers)</t>
        </is>
      </c>
    </row>
    <row r="184">
      <c r="A184" s="17" t="inlineStr">
        <is>
          <t>AI ANALYSIS</t>
        </is>
      </c>
    </row>
    <row r="185">
      <c r="A185" t="inlineStr">
        <is>
          <t>Loan Classification:</t>
        </is>
      </c>
      <c r="B185" s="6" t="inlineStr">
        <is>
          <t>AMORTIZING - Standard P&amp;I amortization</t>
        </is>
      </c>
    </row>
    <row r="186">
      <c r="A186" t="inlineStr">
        <is>
          <t>Months Since Origination:</t>
        </is>
      </c>
      <c r="B186" s="87" t="n">
        <v>16</v>
      </c>
    </row>
    <row r="187">
      <c r="A187" t="inlineStr">
        <is>
          <t>Months to Maturity:</t>
        </is>
      </c>
      <c r="B187" s="87" t="n">
        <v>68</v>
      </c>
    </row>
    <row r="188">
      <c r="A188" t="inlineStr">
        <is>
          <t>Amortization Notes:</t>
        </is>
      </c>
      <c r="B188" s="6" t="inlineStr">
        <is>
          <t>Monthly payment of $19,147.18 until maturity</t>
        </is>
      </c>
    </row>
    <row r="190">
      <c r="A190" s="39" t="inlineStr">
        <is>
          <t>AMORTIZATION SCHEDULE</t>
        </is>
      </c>
    </row>
    <row r="191">
      <c r="A191" s="88" t="inlineStr">
        <is>
          <t>Month #</t>
        </is>
      </c>
      <c r="B191" s="88" t="inlineStr">
        <is>
          <t>Date</t>
        </is>
      </c>
      <c r="C191" s="88" t="inlineStr">
        <is>
          <t>Opening</t>
        </is>
      </c>
      <c r="D191" s="88" t="inlineStr">
        <is>
          <t>Interest</t>
        </is>
      </c>
      <c r="E191" s="88" t="inlineStr">
        <is>
          <t>Principal</t>
        </is>
      </c>
      <c r="F191" s="88" t="inlineStr">
        <is>
          <t>Closing</t>
        </is>
      </c>
    </row>
    <row r="192">
      <c r="A192" s="34" t="n">
        <v>1</v>
      </c>
      <c r="B192" s="34" t="inlineStr">
        <is>
          <t>2025-12-22</t>
        </is>
      </c>
      <c r="C192" s="11">
        <f>1095892</f>
        <v/>
      </c>
      <c r="D192" s="11">
        <f>MAX(0,C192*$B$179/12)</f>
        <v/>
      </c>
      <c r="E192" s="11">
        <f>MAX(0,MIN(C192,$B$180-D192))</f>
        <v/>
      </c>
      <c r="F192" s="11">
        <f>MAX(0,C192-E192)</f>
        <v/>
      </c>
    </row>
    <row r="193">
      <c r="A193" s="34" t="n">
        <v>2</v>
      </c>
      <c r="B193" s="34" t="inlineStr">
        <is>
          <t>2026-01-22</t>
        </is>
      </c>
      <c r="C193" s="11">
        <f>F192</f>
        <v/>
      </c>
      <c r="D193" s="11">
        <f>MAX(0,C193*$B$179/12)</f>
        <v/>
      </c>
      <c r="E193" s="11">
        <f>MAX(0,MIN(C193,$B$180-D193))</f>
        <v/>
      </c>
      <c r="F193" s="11">
        <f>MAX(0,C193-E193)</f>
        <v/>
      </c>
    </row>
    <row r="194">
      <c r="A194" s="34" t="n">
        <v>3</v>
      </c>
      <c r="B194" s="34" t="inlineStr">
        <is>
          <t>2026-02-22</t>
        </is>
      </c>
      <c r="C194" s="11">
        <f>F193</f>
        <v/>
      </c>
      <c r="D194" s="11">
        <f>MAX(0,C194*$B$179/12)</f>
        <v/>
      </c>
      <c r="E194" s="11">
        <f>MAX(0,MIN(C194,$B$180-D194))</f>
        <v/>
      </c>
      <c r="F194" s="11">
        <f>MAX(0,C194-E194)</f>
        <v/>
      </c>
    </row>
    <row r="195">
      <c r="A195" s="34" t="n">
        <v>4</v>
      </c>
      <c r="B195" s="34" t="inlineStr">
        <is>
          <t>2026-03-22</t>
        </is>
      </c>
      <c r="C195" s="11">
        <f>F194</f>
        <v/>
      </c>
      <c r="D195" s="11">
        <f>MAX(0,C195*$B$179/12)</f>
        <v/>
      </c>
      <c r="E195" s="11">
        <f>MAX(0,MIN(C195,$B$180-D195))</f>
        <v/>
      </c>
      <c r="F195" s="11">
        <f>MAX(0,C195-E195)</f>
        <v/>
      </c>
    </row>
    <row r="196">
      <c r="A196" s="34" t="n">
        <v>5</v>
      </c>
      <c r="B196" s="34" t="inlineStr">
        <is>
          <t>2026-04-22</t>
        </is>
      </c>
      <c r="C196" s="11">
        <f>F195</f>
        <v/>
      </c>
      <c r="D196" s="11">
        <f>MAX(0,C196*$B$179/12)</f>
        <v/>
      </c>
      <c r="E196" s="11">
        <f>MAX(0,MIN(C196,$B$180-D196))</f>
        <v/>
      </c>
      <c r="F196" s="11">
        <f>MAX(0,C196-E196)</f>
        <v/>
      </c>
    </row>
    <row r="197">
      <c r="A197" s="34" t="n">
        <v>6</v>
      </c>
      <c r="B197" s="34" t="inlineStr">
        <is>
          <t>2026-05-22</t>
        </is>
      </c>
      <c r="C197" s="11">
        <f>F196</f>
        <v/>
      </c>
      <c r="D197" s="11">
        <f>MAX(0,C197*$B$179/12)</f>
        <v/>
      </c>
      <c r="E197" s="11">
        <f>MAX(0,MIN(C197,$B$180-D197))</f>
        <v/>
      </c>
      <c r="F197" s="11">
        <f>MAX(0,C197-E197)</f>
        <v/>
      </c>
    </row>
    <row r="198">
      <c r="A198" s="34" t="n">
        <v>7</v>
      </c>
      <c r="B198" s="34" t="inlineStr">
        <is>
          <t>2026-06-22</t>
        </is>
      </c>
      <c r="C198" s="11">
        <f>F197</f>
        <v/>
      </c>
      <c r="D198" s="11">
        <f>MAX(0,C198*$B$179/12)</f>
        <v/>
      </c>
      <c r="E198" s="11">
        <f>MAX(0,MIN(C198,$B$180-D198))</f>
        <v/>
      </c>
      <c r="F198" s="11">
        <f>MAX(0,C198-E198)</f>
        <v/>
      </c>
    </row>
    <row r="199">
      <c r="A199" s="34" t="n">
        <v>8</v>
      </c>
      <c r="B199" s="34" t="inlineStr">
        <is>
          <t>2026-07-22</t>
        </is>
      </c>
      <c r="C199" s="11">
        <f>F198</f>
        <v/>
      </c>
      <c r="D199" s="11">
        <f>MAX(0,C199*$B$179/12)</f>
        <v/>
      </c>
      <c r="E199" s="11">
        <f>MAX(0,MIN(C199,$B$180-D199))</f>
        <v/>
      </c>
      <c r="F199" s="11">
        <f>MAX(0,C199-E199)</f>
        <v/>
      </c>
    </row>
    <row r="200">
      <c r="A200" s="34" t="n">
        <v>9</v>
      </c>
      <c r="B200" s="34" t="inlineStr">
        <is>
          <t>2026-08-22</t>
        </is>
      </c>
      <c r="C200" s="11">
        <f>F199</f>
        <v/>
      </c>
      <c r="D200" s="11">
        <f>MAX(0,C200*$B$179/12)</f>
        <v/>
      </c>
      <c r="E200" s="11">
        <f>MAX(0,MIN(C200,$B$180-D200))</f>
        <v/>
      </c>
      <c r="F200" s="11">
        <f>MAX(0,C200-E200)</f>
        <v/>
      </c>
    </row>
    <row r="201">
      <c r="A201" s="34" t="n">
        <v>10</v>
      </c>
      <c r="B201" s="34" t="inlineStr">
        <is>
          <t>2026-09-22</t>
        </is>
      </c>
      <c r="C201" s="11">
        <f>F200</f>
        <v/>
      </c>
      <c r="D201" s="11">
        <f>MAX(0,C201*$B$179/12)</f>
        <v/>
      </c>
      <c r="E201" s="11">
        <f>MAX(0,MIN(C201,$B$180-D201))</f>
        <v/>
      </c>
      <c r="F201" s="11">
        <f>MAX(0,C201-E201)</f>
        <v/>
      </c>
    </row>
    <row r="202">
      <c r="A202" s="34" t="n">
        <v>11</v>
      </c>
      <c r="B202" s="34" t="inlineStr">
        <is>
          <t>2026-10-22</t>
        </is>
      </c>
      <c r="C202" s="11">
        <f>F201</f>
        <v/>
      </c>
      <c r="D202" s="11">
        <f>MAX(0,C202*$B$179/12)</f>
        <v/>
      </c>
      <c r="E202" s="11">
        <f>MAX(0,MIN(C202,$B$180-D202))</f>
        <v/>
      </c>
      <c r="F202" s="11">
        <f>MAX(0,C202-E202)</f>
        <v/>
      </c>
    </row>
    <row r="203">
      <c r="A203" s="34" t="n">
        <v>12</v>
      </c>
      <c r="B203" s="34" t="inlineStr">
        <is>
          <t>2026-11-22</t>
        </is>
      </c>
      <c r="C203" s="11">
        <f>F202</f>
        <v/>
      </c>
      <c r="D203" s="11">
        <f>MAX(0,C203*$B$179/12)</f>
        <v/>
      </c>
      <c r="E203" s="11">
        <f>MAX(0,MIN(C203,$B$180-D203))</f>
        <v/>
      </c>
      <c r="F203" s="11">
        <f>MAX(0,C203-E203)</f>
        <v/>
      </c>
    </row>
    <row r="204">
      <c r="A204" s="34" t="n">
        <v>13</v>
      </c>
      <c r="B204" s="34" t="inlineStr">
        <is>
          <t>2026-12-22</t>
        </is>
      </c>
      <c r="C204" s="11">
        <f>F203</f>
        <v/>
      </c>
      <c r="D204" s="11">
        <f>MAX(0,C204*$B$179/12)</f>
        <v/>
      </c>
      <c r="E204" s="11">
        <f>MAX(0,MIN(C204,$B$180-D204))</f>
        <v/>
      </c>
      <c r="F204" s="11">
        <f>MAX(0,C204-E204)</f>
        <v/>
      </c>
    </row>
    <row r="205">
      <c r="A205" s="34" t="n">
        <v>14</v>
      </c>
      <c r="B205" s="34" t="inlineStr">
        <is>
          <t>2027-01-22</t>
        </is>
      </c>
      <c r="C205" s="11">
        <f>F204</f>
        <v/>
      </c>
      <c r="D205" s="11">
        <f>MAX(0,C205*$B$179/12)</f>
        <v/>
      </c>
      <c r="E205" s="11">
        <f>MAX(0,MIN(C205,$B$180-D205))</f>
        <v/>
      </c>
      <c r="F205" s="11">
        <f>MAX(0,C205-E205)</f>
        <v/>
      </c>
    </row>
    <row r="206">
      <c r="A206" s="34" t="n">
        <v>15</v>
      </c>
      <c r="B206" s="34" t="inlineStr">
        <is>
          <t>2027-02-22</t>
        </is>
      </c>
      <c r="C206" s="11">
        <f>F205</f>
        <v/>
      </c>
      <c r="D206" s="11">
        <f>MAX(0,C206*$B$179/12)</f>
        <v/>
      </c>
      <c r="E206" s="11">
        <f>MAX(0,MIN(C206,$B$180-D206))</f>
        <v/>
      </c>
      <c r="F206" s="11">
        <f>MAX(0,C206-E206)</f>
        <v/>
      </c>
    </row>
    <row r="207">
      <c r="A207" s="34" t="n">
        <v>16</v>
      </c>
      <c r="B207" s="34" t="inlineStr">
        <is>
          <t>2027-03-22</t>
        </is>
      </c>
      <c r="C207" s="11">
        <f>F206</f>
        <v/>
      </c>
      <c r="D207" s="11">
        <f>MAX(0,C207*$B$179/12)</f>
        <v/>
      </c>
      <c r="E207" s="11">
        <f>MAX(0,MIN(C207,$B$180-D207))</f>
        <v/>
      </c>
      <c r="F207" s="11">
        <f>MAX(0,C207-E207)</f>
        <v/>
      </c>
    </row>
    <row r="208">
      <c r="A208" s="34" t="n">
        <v>17</v>
      </c>
      <c r="B208" s="34" t="inlineStr">
        <is>
          <t>2027-04-22</t>
        </is>
      </c>
      <c r="C208" s="11">
        <f>F207</f>
        <v/>
      </c>
      <c r="D208" s="11">
        <f>MAX(0,C208*$B$179/12)</f>
        <v/>
      </c>
      <c r="E208" s="11">
        <f>MAX(0,MIN(C208,$B$180-D208))</f>
        <v/>
      </c>
      <c r="F208" s="11">
        <f>MAX(0,C208-E208)</f>
        <v/>
      </c>
    </row>
    <row r="209">
      <c r="A209" s="34" t="n">
        <v>18</v>
      </c>
      <c r="B209" s="34" t="inlineStr">
        <is>
          <t>2027-05-22</t>
        </is>
      </c>
      <c r="C209" s="11">
        <f>F208</f>
        <v/>
      </c>
      <c r="D209" s="11">
        <f>MAX(0,C209*$B$179/12)</f>
        <v/>
      </c>
      <c r="E209" s="11">
        <f>MAX(0,MIN(C209,$B$180-D209))</f>
        <v/>
      </c>
      <c r="F209" s="11">
        <f>MAX(0,C209-E209)</f>
        <v/>
      </c>
    </row>
    <row r="210">
      <c r="A210" s="34" t="n">
        <v>19</v>
      </c>
      <c r="B210" s="34" t="inlineStr">
        <is>
          <t>2027-06-22</t>
        </is>
      </c>
      <c r="C210" s="11">
        <f>F209</f>
        <v/>
      </c>
      <c r="D210" s="11">
        <f>MAX(0,C210*$B$179/12)</f>
        <v/>
      </c>
      <c r="E210" s="11">
        <f>MAX(0,MIN(C210,$B$180-D210))</f>
        <v/>
      </c>
      <c r="F210" s="11">
        <f>MAX(0,C210-E210)</f>
        <v/>
      </c>
    </row>
    <row r="211">
      <c r="A211" s="34" t="n">
        <v>20</v>
      </c>
      <c r="B211" s="34" t="inlineStr">
        <is>
          <t>2027-07-22</t>
        </is>
      </c>
      <c r="C211" s="11">
        <f>F210</f>
        <v/>
      </c>
      <c r="D211" s="11">
        <f>MAX(0,C211*$B$179/12)</f>
        <v/>
      </c>
      <c r="E211" s="11">
        <f>MAX(0,MIN(C211,$B$180-D211))</f>
        <v/>
      </c>
      <c r="F211" s="11">
        <f>MAX(0,C211-E211)</f>
        <v/>
      </c>
    </row>
    <row r="212">
      <c r="A212" s="34" t="n">
        <v>21</v>
      </c>
      <c r="B212" s="34" t="inlineStr">
        <is>
          <t>2027-08-22</t>
        </is>
      </c>
      <c r="C212" s="11">
        <f>F211</f>
        <v/>
      </c>
      <c r="D212" s="11">
        <f>MAX(0,C212*$B$179/12)</f>
        <v/>
      </c>
      <c r="E212" s="11">
        <f>MAX(0,MIN(C212,$B$180-D212))</f>
        <v/>
      </c>
      <c r="F212" s="11">
        <f>MAX(0,C212-E212)</f>
        <v/>
      </c>
    </row>
    <row r="213">
      <c r="A213" s="34" t="n">
        <v>22</v>
      </c>
      <c r="B213" s="34" t="inlineStr">
        <is>
          <t>2027-09-22</t>
        </is>
      </c>
      <c r="C213" s="11">
        <f>F212</f>
        <v/>
      </c>
      <c r="D213" s="11">
        <f>MAX(0,C213*$B$179/12)</f>
        <v/>
      </c>
      <c r="E213" s="11">
        <f>MAX(0,MIN(C213,$B$180-D213))</f>
        <v/>
      </c>
      <c r="F213" s="11">
        <f>MAX(0,C213-E213)</f>
        <v/>
      </c>
    </row>
    <row r="214">
      <c r="A214" s="34" t="n">
        <v>23</v>
      </c>
      <c r="B214" s="34" t="inlineStr">
        <is>
          <t>2027-10-22</t>
        </is>
      </c>
      <c r="C214" s="11">
        <f>F213</f>
        <v/>
      </c>
      <c r="D214" s="11">
        <f>MAX(0,C214*$B$179/12)</f>
        <v/>
      </c>
      <c r="E214" s="11">
        <f>MAX(0,MIN(C214,$B$180-D214))</f>
        <v/>
      </c>
      <c r="F214" s="11">
        <f>MAX(0,C214-E214)</f>
        <v/>
      </c>
    </row>
    <row r="215">
      <c r="A215" s="34" t="n">
        <v>24</v>
      </c>
      <c r="B215" s="34" t="inlineStr">
        <is>
          <t>2027-11-22</t>
        </is>
      </c>
      <c r="C215" s="11">
        <f>F214</f>
        <v/>
      </c>
      <c r="D215" s="11">
        <f>MAX(0,C215*$B$179/12)</f>
        <v/>
      </c>
      <c r="E215" s="11">
        <f>MAX(0,MIN(C215,$B$180-D215))</f>
        <v/>
      </c>
      <c r="F215" s="11">
        <f>MAX(0,C215-E215)</f>
        <v/>
      </c>
    </row>
    <row r="216">
      <c r="A216" s="34" t="n">
        <v>25</v>
      </c>
      <c r="B216" s="34" t="inlineStr">
        <is>
          <t>2027-12-22</t>
        </is>
      </c>
      <c r="C216" s="11">
        <f>F215</f>
        <v/>
      </c>
      <c r="D216" s="11">
        <f>MAX(0,C216*$B$179/12)</f>
        <v/>
      </c>
      <c r="E216" s="11">
        <f>MAX(0,MIN(C216,$B$180-D216))</f>
        <v/>
      </c>
      <c r="F216" s="11">
        <f>MAX(0,C216-E216)</f>
        <v/>
      </c>
    </row>
    <row r="217">
      <c r="A217" s="34" t="n">
        <v>26</v>
      </c>
      <c r="B217" s="34" t="inlineStr">
        <is>
          <t>2028-01-22</t>
        </is>
      </c>
      <c r="C217" s="11">
        <f>F216</f>
        <v/>
      </c>
      <c r="D217" s="11">
        <f>MAX(0,C217*$B$179/12)</f>
        <v/>
      </c>
      <c r="E217" s="11">
        <f>MAX(0,MIN(C217,$B$180-D217))</f>
        <v/>
      </c>
      <c r="F217" s="11">
        <f>MAX(0,C217-E217)</f>
        <v/>
      </c>
    </row>
    <row r="218">
      <c r="A218" s="34" t="n">
        <v>27</v>
      </c>
      <c r="B218" s="34" t="inlineStr">
        <is>
          <t>2028-02-22</t>
        </is>
      </c>
      <c r="C218" s="11">
        <f>F217</f>
        <v/>
      </c>
      <c r="D218" s="11">
        <f>MAX(0,C218*$B$179/12)</f>
        <v/>
      </c>
      <c r="E218" s="11">
        <f>MAX(0,MIN(C218,$B$180-D218))</f>
        <v/>
      </c>
      <c r="F218" s="11">
        <f>MAX(0,C218-E218)</f>
        <v/>
      </c>
    </row>
    <row r="219">
      <c r="A219" s="34" t="n">
        <v>28</v>
      </c>
      <c r="B219" s="34" t="inlineStr">
        <is>
          <t>2028-03-22</t>
        </is>
      </c>
      <c r="C219" s="11">
        <f>F218</f>
        <v/>
      </c>
      <c r="D219" s="11">
        <f>MAX(0,C219*$B$179/12)</f>
        <v/>
      </c>
      <c r="E219" s="11">
        <f>MAX(0,MIN(C219,$B$180-D219))</f>
        <v/>
      </c>
      <c r="F219" s="11">
        <f>MAX(0,C219-E219)</f>
        <v/>
      </c>
    </row>
    <row r="220">
      <c r="A220" s="34" t="n">
        <v>29</v>
      </c>
      <c r="B220" s="34" t="inlineStr">
        <is>
          <t>2028-04-22</t>
        </is>
      </c>
      <c r="C220" s="11">
        <f>F219</f>
        <v/>
      </c>
      <c r="D220" s="11">
        <f>MAX(0,C220*$B$179/12)</f>
        <v/>
      </c>
      <c r="E220" s="11">
        <f>MAX(0,MIN(C220,$B$180-D220))</f>
        <v/>
      </c>
      <c r="F220" s="11">
        <f>MAX(0,C220-E220)</f>
        <v/>
      </c>
    </row>
    <row r="221">
      <c r="A221" s="34" t="n">
        <v>30</v>
      </c>
      <c r="B221" s="34" t="inlineStr">
        <is>
          <t>2028-05-22</t>
        </is>
      </c>
      <c r="C221" s="11">
        <f>F220</f>
        <v/>
      </c>
      <c r="D221" s="11">
        <f>MAX(0,C221*$B$179/12)</f>
        <v/>
      </c>
      <c r="E221" s="11">
        <f>MAX(0,MIN(C221,$B$180-D221))</f>
        <v/>
      </c>
      <c r="F221" s="11">
        <f>MAX(0,C221-E221)</f>
        <v/>
      </c>
    </row>
    <row r="222">
      <c r="A222" s="34" t="n">
        <v>31</v>
      </c>
      <c r="B222" s="34" t="inlineStr">
        <is>
          <t>2028-06-22</t>
        </is>
      </c>
      <c r="C222" s="11">
        <f>F221</f>
        <v/>
      </c>
      <c r="D222" s="11">
        <f>MAX(0,C222*$B$179/12)</f>
        <v/>
      </c>
      <c r="E222" s="11">
        <f>MAX(0,MIN(C222,$B$180-D222))</f>
        <v/>
      </c>
      <c r="F222" s="11">
        <f>MAX(0,C222-E222)</f>
        <v/>
      </c>
    </row>
    <row r="223">
      <c r="A223" s="34" t="n">
        <v>32</v>
      </c>
      <c r="B223" s="34" t="inlineStr">
        <is>
          <t>2028-07-22</t>
        </is>
      </c>
      <c r="C223" s="11">
        <f>F222</f>
        <v/>
      </c>
      <c r="D223" s="11">
        <f>MAX(0,C223*$B$179/12)</f>
        <v/>
      </c>
      <c r="E223" s="11">
        <f>MAX(0,MIN(C223,$B$180-D223))</f>
        <v/>
      </c>
      <c r="F223" s="11">
        <f>MAX(0,C223-E223)</f>
        <v/>
      </c>
    </row>
    <row r="224">
      <c r="A224" s="34" t="n">
        <v>33</v>
      </c>
      <c r="B224" s="34" t="inlineStr">
        <is>
          <t>2028-08-22</t>
        </is>
      </c>
      <c r="C224" s="11">
        <f>F223</f>
        <v/>
      </c>
      <c r="D224" s="11">
        <f>MAX(0,C224*$B$179/12)</f>
        <v/>
      </c>
      <c r="E224" s="11">
        <f>MAX(0,MIN(C224,$B$180-D224))</f>
        <v/>
      </c>
      <c r="F224" s="11">
        <f>MAX(0,C224-E224)</f>
        <v/>
      </c>
    </row>
    <row r="225">
      <c r="A225" s="34" t="n">
        <v>34</v>
      </c>
      <c r="B225" s="34" t="inlineStr">
        <is>
          <t>2028-09-22</t>
        </is>
      </c>
      <c r="C225" s="11">
        <f>F224</f>
        <v/>
      </c>
      <c r="D225" s="11">
        <f>MAX(0,C225*$B$179/12)</f>
        <v/>
      </c>
      <c r="E225" s="11">
        <f>MAX(0,MIN(C225,$B$180-D225))</f>
        <v/>
      </c>
      <c r="F225" s="11">
        <f>MAX(0,C225-E225)</f>
        <v/>
      </c>
    </row>
    <row r="226">
      <c r="A226" s="34" t="n">
        <v>35</v>
      </c>
      <c r="B226" s="34" t="inlineStr">
        <is>
          <t>2028-10-22</t>
        </is>
      </c>
      <c r="C226" s="11">
        <f>F225</f>
        <v/>
      </c>
      <c r="D226" s="11">
        <f>MAX(0,C226*$B$179/12)</f>
        <v/>
      </c>
      <c r="E226" s="11">
        <f>MAX(0,MIN(C226,$B$180-D226))</f>
        <v/>
      </c>
      <c r="F226" s="11">
        <f>MAX(0,C226-E226)</f>
        <v/>
      </c>
    </row>
    <row r="227">
      <c r="A227" s="34" t="n">
        <v>36</v>
      </c>
      <c r="B227" s="34" t="inlineStr">
        <is>
          <t>2028-11-22</t>
        </is>
      </c>
      <c r="C227" s="11">
        <f>F226</f>
        <v/>
      </c>
      <c r="D227" s="11">
        <f>MAX(0,C227*$B$179/12)</f>
        <v/>
      </c>
      <c r="E227" s="11">
        <f>MAX(0,MIN(C227,$B$180-D227))</f>
        <v/>
      </c>
      <c r="F227" s="11">
        <f>MAX(0,C227-E227)</f>
        <v/>
      </c>
    </row>
    <row r="228">
      <c r="A228" s="34" t="n">
        <v>37</v>
      </c>
      <c r="B228" s="34" t="inlineStr">
        <is>
          <t>2028-12-22</t>
        </is>
      </c>
      <c r="C228" s="11">
        <f>F227</f>
        <v/>
      </c>
      <c r="D228" s="11">
        <f>MAX(0,C228*$B$179/12)</f>
        <v/>
      </c>
      <c r="E228" s="11">
        <f>MAX(0,MIN(C228,$B$180-D228))</f>
        <v/>
      </c>
      <c r="F228" s="11">
        <f>MAX(0,C228-E228)</f>
        <v/>
      </c>
    </row>
    <row r="229">
      <c r="A229" s="34" t="n">
        <v>38</v>
      </c>
      <c r="B229" s="34" t="inlineStr">
        <is>
          <t>2029-01-22</t>
        </is>
      </c>
      <c r="C229" s="11">
        <f>F228</f>
        <v/>
      </c>
      <c r="D229" s="11">
        <f>MAX(0,C229*$B$179/12)</f>
        <v/>
      </c>
      <c r="E229" s="11">
        <f>MAX(0,MIN(C229,$B$180-D229))</f>
        <v/>
      </c>
      <c r="F229" s="11">
        <f>MAX(0,C229-E229)</f>
        <v/>
      </c>
    </row>
    <row r="230">
      <c r="A230" s="34" t="n">
        <v>39</v>
      </c>
      <c r="B230" s="34" t="inlineStr">
        <is>
          <t>2029-02-22</t>
        </is>
      </c>
      <c r="C230" s="11">
        <f>F229</f>
        <v/>
      </c>
      <c r="D230" s="11">
        <f>MAX(0,C230*$B$179/12)</f>
        <v/>
      </c>
      <c r="E230" s="11">
        <f>MAX(0,MIN(C230,$B$180-D230))</f>
        <v/>
      </c>
      <c r="F230" s="11">
        <f>MAX(0,C230-E230)</f>
        <v/>
      </c>
    </row>
    <row r="231">
      <c r="A231" s="34" t="n">
        <v>40</v>
      </c>
      <c r="B231" s="34" t="inlineStr">
        <is>
          <t>2029-03-22</t>
        </is>
      </c>
      <c r="C231" s="11">
        <f>F230</f>
        <v/>
      </c>
      <c r="D231" s="11">
        <f>MAX(0,C231*$B$179/12)</f>
        <v/>
      </c>
      <c r="E231" s="11">
        <f>MAX(0,MIN(C231,$B$180-D231))</f>
        <v/>
      </c>
      <c r="F231" s="11">
        <f>MAX(0,C231-E231)</f>
        <v/>
      </c>
    </row>
    <row r="232">
      <c r="A232" s="34" t="n">
        <v>41</v>
      </c>
      <c r="B232" s="34" t="inlineStr">
        <is>
          <t>2029-04-22</t>
        </is>
      </c>
      <c r="C232" s="11">
        <f>F231</f>
        <v/>
      </c>
      <c r="D232" s="11">
        <f>MAX(0,C232*$B$179/12)</f>
        <v/>
      </c>
      <c r="E232" s="11">
        <f>MAX(0,MIN(C232,$B$180-D232))</f>
        <v/>
      </c>
      <c r="F232" s="11">
        <f>MAX(0,C232-E232)</f>
        <v/>
      </c>
    </row>
    <row r="233">
      <c r="A233" s="34" t="n">
        <v>42</v>
      </c>
      <c r="B233" s="34" t="inlineStr">
        <is>
          <t>2029-05-22</t>
        </is>
      </c>
      <c r="C233" s="11">
        <f>F232</f>
        <v/>
      </c>
      <c r="D233" s="11">
        <f>MAX(0,C233*$B$179/12)</f>
        <v/>
      </c>
      <c r="E233" s="11">
        <f>MAX(0,MIN(C233,$B$180-D233))</f>
        <v/>
      </c>
      <c r="F233" s="11">
        <f>MAX(0,C233-E233)</f>
        <v/>
      </c>
    </row>
    <row r="234">
      <c r="A234" s="34" t="n">
        <v>43</v>
      </c>
      <c r="B234" s="34" t="inlineStr">
        <is>
          <t>2029-06-22</t>
        </is>
      </c>
      <c r="C234" s="11">
        <f>F233</f>
        <v/>
      </c>
      <c r="D234" s="11">
        <f>MAX(0,C234*$B$179/12)</f>
        <v/>
      </c>
      <c r="E234" s="11">
        <f>MAX(0,MIN(C234,$B$180-D234))</f>
        <v/>
      </c>
      <c r="F234" s="11">
        <f>MAX(0,C234-E234)</f>
        <v/>
      </c>
    </row>
    <row r="235">
      <c r="A235" s="34" t="n">
        <v>44</v>
      </c>
      <c r="B235" s="34" t="inlineStr">
        <is>
          <t>2029-07-22</t>
        </is>
      </c>
      <c r="C235" s="11">
        <f>F234</f>
        <v/>
      </c>
      <c r="D235" s="11">
        <f>MAX(0,C235*$B$179/12)</f>
        <v/>
      </c>
      <c r="E235" s="11">
        <f>MAX(0,MIN(C235,$B$180-D235))</f>
        <v/>
      </c>
      <c r="F235" s="11">
        <f>MAX(0,C235-E235)</f>
        <v/>
      </c>
    </row>
    <row r="236">
      <c r="A236" s="34" t="n">
        <v>45</v>
      </c>
      <c r="B236" s="34" t="inlineStr">
        <is>
          <t>2029-08-22</t>
        </is>
      </c>
      <c r="C236" s="11">
        <f>F235</f>
        <v/>
      </c>
      <c r="D236" s="11">
        <f>MAX(0,C236*$B$179/12)</f>
        <v/>
      </c>
      <c r="E236" s="11">
        <f>MAX(0,MIN(C236,$B$180-D236))</f>
        <v/>
      </c>
      <c r="F236" s="11">
        <f>MAX(0,C236-E236)</f>
        <v/>
      </c>
    </row>
    <row r="237">
      <c r="A237" s="34" t="n">
        <v>46</v>
      </c>
      <c r="B237" s="34" t="inlineStr">
        <is>
          <t>2029-09-22</t>
        </is>
      </c>
      <c r="C237" s="11">
        <f>F236</f>
        <v/>
      </c>
      <c r="D237" s="11">
        <f>MAX(0,C237*$B$179/12)</f>
        <v/>
      </c>
      <c r="E237" s="11">
        <f>MAX(0,MIN(C237,$B$180-D237))</f>
        <v/>
      </c>
      <c r="F237" s="11">
        <f>MAX(0,C237-E237)</f>
        <v/>
      </c>
    </row>
    <row r="238">
      <c r="A238" s="34" t="n">
        <v>47</v>
      </c>
      <c r="B238" s="34" t="inlineStr">
        <is>
          <t>2029-10-22</t>
        </is>
      </c>
      <c r="C238" s="11">
        <f>F237</f>
        <v/>
      </c>
      <c r="D238" s="11">
        <f>MAX(0,C238*$B$179/12)</f>
        <v/>
      </c>
      <c r="E238" s="11">
        <f>MAX(0,MIN(C238,$B$180-D238))</f>
        <v/>
      </c>
      <c r="F238" s="11">
        <f>MAX(0,C238-E238)</f>
        <v/>
      </c>
    </row>
    <row r="239">
      <c r="A239" s="34" t="n">
        <v>48</v>
      </c>
      <c r="B239" s="34" t="inlineStr">
        <is>
          <t>2029-11-22</t>
        </is>
      </c>
      <c r="C239" s="11">
        <f>F238</f>
        <v/>
      </c>
      <c r="D239" s="11">
        <f>MAX(0,C239*$B$179/12)</f>
        <v/>
      </c>
      <c r="E239" s="11">
        <f>MAX(0,MIN(C239,$B$180-D239))</f>
        <v/>
      </c>
      <c r="F239" s="11">
        <f>MAX(0,C239-E239)</f>
        <v/>
      </c>
    </row>
    <row r="240">
      <c r="A240" s="34" t="n">
        <v>49</v>
      </c>
      <c r="B240" s="34" t="inlineStr">
        <is>
          <t>2029-12-22</t>
        </is>
      </c>
      <c r="C240" s="11">
        <f>F239</f>
        <v/>
      </c>
      <c r="D240" s="11">
        <f>MAX(0,C240*$B$179/12)</f>
        <v/>
      </c>
      <c r="E240" s="11">
        <f>MAX(0,MIN(C240,$B$180-D240))</f>
        <v/>
      </c>
      <c r="F240" s="11">
        <f>MAX(0,C240-E240)</f>
        <v/>
      </c>
    </row>
    <row r="241">
      <c r="A241" s="34" t="n">
        <v>50</v>
      </c>
      <c r="B241" s="34" t="inlineStr">
        <is>
          <t>2030-01-22</t>
        </is>
      </c>
      <c r="C241" s="11">
        <f>F240</f>
        <v/>
      </c>
      <c r="D241" s="11">
        <f>MAX(0,C241*$B$179/12)</f>
        <v/>
      </c>
      <c r="E241" s="11">
        <f>MAX(0,MIN(C241,$B$180-D241))</f>
        <v/>
      </c>
      <c r="F241" s="11">
        <f>MAX(0,C241-E241)</f>
        <v/>
      </c>
    </row>
    <row r="242">
      <c r="A242" s="34" t="n">
        <v>51</v>
      </c>
      <c r="B242" s="34" t="inlineStr">
        <is>
          <t>2030-02-22</t>
        </is>
      </c>
      <c r="C242" s="11">
        <f>F241</f>
        <v/>
      </c>
      <c r="D242" s="11">
        <f>MAX(0,C242*$B$179/12)</f>
        <v/>
      </c>
      <c r="E242" s="11">
        <f>MAX(0,MIN(C242,$B$180-D242))</f>
        <v/>
      </c>
      <c r="F242" s="11">
        <f>MAX(0,C242-E242)</f>
        <v/>
      </c>
    </row>
    <row r="243">
      <c r="A243" s="34" t="n">
        <v>52</v>
      </c>
      <c r="B243" s="34" t="inlineStr">
        <is>
          <t>2030-03-22</t>
        </is>
      </c>
      <c r="C243" s="11">
        <f>F242</f>
        <v/>
      </c>
      <c r="D243" s="11">
        <f>MAX(0,C243*$B$179/12)</f>
        <v/>
      </c>
      <c r="E243" s="11">
        <f>MAX(0,MIN(C243,$B$180-D243))</f>
        <v/>
      </c>
      <c r="F243" s="11">
        <f>MAX(0,C243-E243)</f>
        <v/>
      </c>
    </row>
    <row r="244">
      <c r="A244" s="34" t="n">
        <v>53</v>
      </c>
      <c r="B244" s="34" t="inlineStr">
        <is>
          <t>2030-04-22</t>
        </is>
      </c>
      <c r="C244" s="11">
        <f>F243</f>
        <v/>
      </c>
      <c r="D244" s="11">
        <f>MAX(0,C244*$B$179/12)</f>
        <v/>
      </c>
      <c r="E244" s="11">
        <f>MAX(0,MIN(C244,$B$180-D244))</f>
        <v/>
      </c>
      <c r="F244" s="11">
        <f>MAX(0,C244-E244)</f>
        <v/>
      </c>
    </row>
    <row r="245">
      <c r="A245" s="34" t="n">
        <v>54</v>
      </c>
      <c r="B245" s="34" t="inlineStr">
        <is>
          <t>2030-05-22</t>
        </is>
      </c>
      <c r="C245" s="11">
        <f>F244</f>
        <v/>
      </c>
      <c r="D245" s="11">
        <f>MAX(0,C245*$B$179/12)</f>
        <v/>
      </c>
      <c r="E245" s="11">
        <f>MAX(0,MIN(C245,$B$180-D245))</f>
        <v/>
      </c>
      <c r="F245" s="11">
        <f>MAX(0,C245-E245)</f>
        <v/>
      </c>
    </row>
    <row r="246">
      <c r="A246" s="34" t="n">
        <v>55</v>
      </c>
      <c r="B246" s="34" t="inlineStr">
        <is>
          <t>2030-06-22</t>
        </is>
      </c>
      <c r="C246" s="11">
        <f>F245</f>
        <v/>
      </c>
      <c r="D246" s="11">
        <f>MAX(0,C246*$B$179/12)</f>
        <v/>
      </c>
      <c r="E246" s="11">
        <f>MAX(0,MIN(C246,$B$180-D246))</f>
        <v/>
      </c>
      <c r="F246" s="11">
        <f>MAX(0,C246-E246)</f>
        <v/>
      </c>
    </row>
    <row r="247">
      <c r="A247" s="34" t="n">
        <v>56</v>
      </c>
      <c r="B247" s="34" t="inlineStr">
        <is>
          <t>2030-07-22</t>
        </is>
      </c>
      <c r="C247" s="11">
        <f>F246</f>
        <v/>
      </c>
      <c r="D247" s="11">
        <f>MAX(0,C247*$B$179/12)</f>
        <v/>
      </c>
      <c r="E247" s="11">
        <f>MAX(0,MIN(C247,$B$180-D247))</f>
        <v/>
      </c>
      <c r="F247" s="11">
        <f>MAX(0,C247-E247)</f>
        <v/>
      </c>
    </row>
    <row r="248">
      <c r="A248" s="34" t="n">
        <v>57</v>
      </c>
      <c r="B248" s="34" t="inlineStr">
        <is>
          <t>2030-08-22</t>
        </is>
      </c>
      <c r="C248" s="11">
        <f>F247</f>
        <v/>
      </c>
      <c r="D248" s="11">
        <f>MAX(0,C248*$B$179/12)</f>
        <v/>
      </c>
      <c r="E248" s="11">
        <f>MAX(0,MIN(C248,$B$180-D248))</f>
        <v/>
      </c>
      <c r="F248" s="11">
        <f>MAX(0,C248-E248)</f>
        <v/>
      </c>
    </row>
    <row r="249">
      <c r="A249" s="34" t="n">
        <v>58</v>
      </c>
      <c r="B249" s="34" t="inlineStr">
        <is>
          <t>2030-09-22</t>
        </is>
      </c>
      <c r="C249" s="11">
        <f>F248</f>
        <v/>
      </c>
      <c r="D249" s="11">
        <f>MAX(0,C249*$B$179/12)</f>
        <v/>
      </c>
      <c r="E249" s="11">
        <f>MAX(0,MIN(C249,$B$180-D249))</f>
        <v/>
      </c>
      <c r="F249" s="11">
        <f>MAX(0,C249-E249)</f>
        <v/>
      </c>
    </row>
    <row r="250">
      <c r="A250" s="34" t="n">
        <v>59</v>
      </c>
      <c r="B250" s="34" t="inlineStr">
        <is>
          <t>2030-10-22</t>
        </is>
      </c>
      <c r="C250" s="11">
        <f>F249</f>
        <v/>
      </c>
      <c r="D250" s="11">
        <f>MAX(0,C250*$B$179/12)</f>
        <v/>
      </c>
      <c r="E250" s="11">
        <f>MAX(0,MIN(C250,$B$180-D250))</f>
        <v/>
      </c>
      <c r="F250" s="11">
        <f>MAX(0,C250-E250)</f>
        <v/>
      </c>
    </row>
    <row r="251">
      <c r="A251" s="34" t="n">
        <v>60</v>
      </c>
      <c r="B251" s="34" t="inlineStr">
        <is>
          <t>2030-11-22</t>
        </is>
      </c>
      <c r="C251" s="11">
        <f>F250</f>
        <v/>
      </c>
      <c r="D251" s="11">
        <f>MAX(0,C251*$B$179/12)</f>
        <v/>
      </c>
      <c r="E251" s="11">
        <f>MAX(0,MIN(C251,$B$180-D251))</f>
        <v/>
      </c>
      <c r="F251" s="11">
        <f>MAX(0,C251-E251)</f>
        <v/>
      </c>
    </row>
    <row r="252">
      <c r="A252" s="34" t="n">
        <v>61</v>
      </c>
      <c r="B252" s="34" t="inlineStr">
        <is>
          <t>2030-12-22</t>
        </is>
      </c>
      <c r="C252" s="11">
        <f>F251</f>
        <v/>
      </c>
      <c r="D252" s="11">
        <f>MAX(0,C252*$B$179/12)</f>
        <v/>
      </c>
      <c r="E252" s="11">
        <f>MAX(0,MIN(C252,$B$180-D252))</f>
        <v/>
      </c>
      <c r="F252" s="11">
        <f>MAX(0,C252-E252)</f>
        <v/>
      </c>
    </row>
    <row r="253">
      <c r="A253" s="34" t="n">
        <v>62</v>
      </c>
      <c r="B253" s="34" t="inlineStr">
        <is>
          <t>2031-01-22</t>
        </is>
      </c>
      <c r="C253" s="11">
        <f>F252</f>
        <v/>
      </c>
      <c r="D253" s="11">
        <f>MAX(0,C253*$B$179/12)</f>
        <v/>
      </c>
      <c r="E253" s="11">
        <f>MAX(0,MIN(C253,$B$180-D253))</f>
        <v/>
      </c>
      <c r="F253" s="11">
        <f>MAX(0,C253-E253)</f>
        <v/>
      </c>
    </row>
    <row r="254">
      <c r="A254" s="34" t="n">
        <v>63</v>
      </c>
      <c r="B254" s="34" t="inlineStr">
        <is>
          <t>2031-02-22</t>
        </is>
      </c>
      <c r="C254" s="11">
        <f>F253</f>
        <v/>
      </c>
      <c r="D254" s="11">
        <f>MAX(0,C254*$B$179/12)</f>
        <v/>
      </c>
      <c r="E254" s="11">
        <f>MAX(0,MIN(C254,$B$180-D254))</f>
        <v/>
      </c>
      <c r="F254" s="11">
        <f>MAX(0,C254-E254)</f>
        <v/>
      </c>
    </row>
    <row r="255">
      <c r="A255" s="34" t="n">
        <v>64</v>
      </c>
      <c r="B255" s="34" t="inlineStr">
        <is>
          <t>2031-03-22</t>
        </is>
      </c>
      <c r="C255" s="11">
        <f>F254</f>
        <v/>
      </c>
      <c r="D255" s="11">
        <f>MAX(0,C255*$B$179/12)</f>
        <v/>
      </c>
      <c r="E255" s="11">
        <f>MAX(0,MIN(C255,$B$180-D255))</f>
        <v/>
      </c>
      <c r="F255" s="11">
        <f>MAX(0,C255-E255)</f>
        <v/>
      </c>
    </row>
    <row r="256">
      <c r="A256" s="34" t="n">
        <v>65</v>
      </c>
      <c r="B256" s="34" t="inlineStr">
        <is>
          <t>2031-04-22</t>
        </is>
      </c>
      <c r="C256" s="11">
        <f>F255</f>
        <v/>
      </c>
      <c r="D256" s="11">
        <f>MAX(0,C256*$B$179/12)</f>
        <v/>
      </c>
      <c r="E256" s="11">
        <f>MAX(0,MIN(C256,$B$180-D256))</f>
        <v/>
      </c>
      <c r="F256" s="11">
        <f>MAX(0,C256-E256)</f>
        <v/>
      </c>
    </row>
    <row r="257">
      <c r="A257" s="34" t="n">
        <v>66</v>
      </c>
      <c r="B257" s="34" t="inlineStr">
        <is>
          <t>2031-05-22</t>
        </is>
      </c>
      <c r="C257" s="11">
        <f>F256</f>
        <v/>
      </c>
      <c r="D257" s="11">
        <f>MAX(0,C257*$B$179/12)</f>
        <v/>
      </c>
      <c r="E257" s="11">
        <f>MAX(0,MIN(C257,$B$180-D257))</f>
        <v/>
      </c>
      <c r="F257" s="11">
        <f>MAX(0,C257-E257)</f>
        <v/>
      </c>
    </row>
    <row r="258">
      <c r="A258" s="34" t="n">
        <v>67</v>
      </c>
      <c r="B258" s="34" t="inlineStr">
        <is>
          <t>2031-06-22</t>
        </is>
      </c>
      <c r="C258" s="11">
        <f>F257</f>
        <v/>
      </c>
      <c r="D258" s="11">
        <f>MAX(0,C258*$B$179/12)</f>
        <v/>
      </c>
      <c r="E258" s="11">
        <f>MAX(0,MIN(C258,$B$180-D258))</f>
        <v/>
      </c>
      <c r="F258" s="11">
        <f>MAX(0,C258-E258)</f>
        <v/>
      </c>
    </row>
    <row r="259">
      <c r="A259" s="34" t="n">
        <v>68</v>
      </c>
      <c r="B259" s="34" t="inlineStr">
        <is>
          <t>2031-07-22</t>
        </is>
      </c>
      <c r="C259" s="11">
        <f>F258</f>
        <v/>
      </c>
      <c r="D259" s="11">
        <f>MAX(0,C259*$B$179/12)</f>
        <v/>
      </c>
      <c r="E259" s="11">
        <f>MAX(0,MIN(C259,$B$180-D259))</f>
        <v/>
      </c>
      <c r="F259" s="11">
        <f>MAX(0,C259-E259)</f>
        <v/>
      </c>
    </row>
    <row r="260">
      <c r="A260" s="34" t="n">
        <v>69</v>
      </c>
      <c r="B260" s="34" t="inlineStr">
        <is>
          <t>2031-08-22</t>
        </is>
      </c>
      <c r="C260" s="11">
        <f>F259</f>
        <v/>
      </c>
      <c r="D260" s="11">
        <f>MAX(0,C260*$B$179/12)</f>
        <v/>
      </c>
      <c r="E260" s="11">
        <f>MAX(0,MIN(C260,$B$180-D260))</f>
        <v/>
      </c>
      <c r="F260" s="11">
        <f>MAX(0,C260-E260)</f>
        <v/>
      </c>
    </row>
    <row r="261">
      <c r="A261" s="34" t="n">
        <v>70</v>
      </c>
      <c r="B261" s="34" t="inlineStr">
        <is>
          <t>2031-09-22</t>
        </is>
      </c>
      <c r="C261" s="11">
        <f>F260</f>
        <v/>
      </c>
      <c r="D261" s="11">
        <f>MAX(0,C261*$B$179/12)</f>
        <v/>
      </c>
      <c r="E261" s="11">
        <f>MAX(0,MIN(C261,$B$180-D261))</f>
        <v/>
      </c>
      <c r="F261" s="11">
        <f>MAX(0,C261-E261)</f>
        <v/>
      </c>
    </row>
    <row r="262">
      <c r="A262" s="41" t="inlineStr">
        <is>
          <t>TOTAL</t>
        </is>
      </c>
      <c r="B262" s="34" t="inlineStr"/>
      <c r="C262" s="34" t="inlineStr"/>
      <c r="D262" s="42">
        <f>SUM(D192:D261)</f>
        <v/>
      </c>
      <c r="E262" s="42">
        <f>SUM(E192:E261)</f>
        <v/>
      </c>
      <c r="F262" s="34" t="inlineStr"/>
    </row>
  </sheetData>
  <mergeCells count="12">
    <mergeCell ref="A190:F190"/>
    <mergeCell ref="A1:G1"/>
    <mergeCell ref="A173:G173"/>
    <mergeCell ref="A17:G17"/>
    <mergeCell ref="A79:F79"/>
    <mergeCell ref="A62:G62"/>
    <mergeCell ref="A146:F146"/>
    <mergeCell ref="A34:F34"/>
    <mergeCell ref="A104:G104"/>
    <mergeCell ref="A7:G7"/>
    <mergeCell ref="A122:F122"/>
    <mergeCell ref="A129:G129"/>
  </mergeCells>
  <pageMargins left="0.75" right="0.75" top="1" bottom="1" header="0.5" footer="0.5"/>
  <legacyDrawing xmlns:r="http://schemas.openxmlformats.org/officeDocument/2006/relationships" r:id="anysvml"/>
</worksheet>
</file>

<file path=xl/worksheets/sheet14.xml><?xml version="1.0" encoding="utf-8"?>
<worksheet xmlns="http://schemas.openxmlformats.org/spreadsheetml/2006/main">
  <sheetPr>
    <tabColor rgb="00808080"/>
    <outlinePr summaryBelow="1" summaryRight="1"/>
    <pageSetUpPr/>
  </sheetPr>
  <dimension ref="A1:G155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39" t="inlineStr">
        <is>
          <t>REGIONAL BANKS - EQUIPMENT LOANS SUMMARY</t>
        </is>
      </c>
    </row>
    <row r="3">
      <c r="A3" s="89" t="inlineStr">
        <is>
          <t>Lender</t>
        </is>
      </c>
      <c r="B3" s="89" t="inlineStr">
        <is>
          <t>Balance</t>
        </is>
      </c>
      <c r="C3" s="89" t="inlineStr">
        <is>
          <t>Rate</t>
        </is>
      </c>
      <c r="D3" s="89" t="inlineStr">
        <is>
          <t>Maturity</t>
        </is>
      </c>
      <c r="E3" s="89" t="inlineStr">
        <is>
          <t>Monthly Pmt</t>
        </is>
      </c>
      <c r="F3" s="89" t="inlineStr">
        <is>
          <t>Loan Type</t>
        </is>
      </c>
      <c r="G3" s="89" t="inlineStr">
        <is>
          <t>Use</t>
        </is>
      </c>
    </row>
    <row r="4">
      <c r="A4" s="34" t="inlineStr">
        <is>
          <t>Signature Bank</t>
        </is>
      </c>
      <c r="B4" s="35" t="n">
        <v>301251</v>
      </c>
      <c r="C4" s="36" t="n">
        <v>0.0358</v>
      </c>
      <c r="D4" s="13" t="n">
        <v>46696</v>
      </c>
      <c r="E4" s="37" t="n">
        <v>13061.21</v>
      </c>
      <c r="F4" s="34" t="inlineStr">
        <is>
          <t>AMORTIZING</t>
        </is>
      </c>
      <c r="G4" s="34" t="inlineStr">
        <is>
          <t>Equipment (Trailers)</t>
        </is>
      </c>
    </row>
    <row r="5">
      <c r="A5" s="34" t="inlineStr">
        <is>
          <t>NBH Bank</t>
        </is>
      </c>
      <c r="B5" s="35" t="n">
        <v>329380</v>
      </c>
      <c r="C5" s="36" t="n">
        <v>0.036</v>
      </c>
      <c r="D5" s="13" t="n">
        <v>46711</v>
      </c>
      <c r="E5" s="37" t="n">
        <v>13836.24</v>
      </c>
      <c r="F5" s="34" t="inlineStr">
        <is>
          <t>AMORTIZING</t>
        </is>
      </c>
      <c r="G5" s="34" t="inlineStr">
        <is>
          <t>Equipment (Trailers)</t>
        </is>
      </c>
    </row>
    <row r="6">
      <c r="A6" s="34" t="inlineStr">
        <is>
          <t>Peoples Bank (M&amp;T)</t>
        </is>
      </c>
      <c r="B6" s="35" t="n">
        <v>347939</v>
      </c>
      <c r="C6" s="36" t="n">
        <v>0.034</v>
      </c>
      <c r="D6" s="13" t="n">
        <v>46841</v>
      </c>
      <c r="E6" s="37" t="n">
        <v>12941.28</v>
      </c>
      <c r="F6" s="34" t="inlineStr">
        <is>
          <t>AMORTIZING</t>
        </is>
      </c>
      <c r="G6" s="34" t="inlineStr">
        <is>
          <t>Equipment (Trailers)</t>
        </is>
      </c>
    </row>
    <row r="7">
      <c r="A7" s="89" t="inlineStr">
        <is>
          <t>TOTAL REGIONAL BANKS</t>
        </is>
      </c>
      <c r="B7" s="90">
        <f>SUM(B4:B6)</f>
        <v/>
      </c>
      <c r="C7" s="91" t="n"/>
      <c r="D7" s="91" t="n"/>
      <c r="E7" s="92">
        <f>SUM(E4:E6)</f>
        <v/>
      </c>
      <c r="F7" s="91" t="n"/>
      <c r="G7" s="91" t="n"/>
    </row>
    <row r="10">
      <c r="A10" s="39" t="inlineStr">
        <is>
          <t>LOAN 1: SIGNATURE BANK</t>
        </is>
      </c>
    </row>
    <row r="12">
      <c r="A12" t="inlineStr">
        <is>
          <t>Loan ID:</t>
        </is>
      </c>
      <c r="B12" t="inlineStr">
        <is>
          <t>05-2981-000-000-00</t>
        </is>
      </c>
    </row>
    <row r="13">
      <c r="A13" t="inlineStr">
        <is>
          <t>Account:</t>
        </is>
      </c>
      <c r="B13" t="inlineStr">
        <is>
          <t>120340001</t>
        </is>
      </c>
    </row>
    <row r="14">
      <c r="A14" t="inlineStr">
        <is>
          <t>Description:</t>
        </is>
      </c>
      <c r="B14" t="inlineStr">
        <is>
          <t>25 Trailers (Oct 2020)</t>
        </is>
      </c>
    </row>
    <row r="15">
      <c r="A15" t="inlineStr">
        <is>
          <t>Opening Balance (as of Nov 30, 2025):</t>
        </is>
      </c>
      <c r="B15" s="3" t="n">
        <v>301251</v>
      </c>
    </row>
    <row r="16">
      <c r="A16" t="inlineStr">
        <is>
          <t>Annual Interest Rate:</t>
        </is>
      </c>
      <c r="B16" s="4" t="n">
        <v>0.0358</v>
      </c>
    </row>
    <row r="17">
      <c r="A17" t="inlineStr">
        <is>
          <t>Monthly Payment:</t>
        </is>
      </c>
      <c r="B17" s="3" t="n">
        <v>13061.21</v>
      </c>
    </row>
    <row r="18">
      <c r="A18" t="inlineStr">
        <is>
          <t>Origination Date:</t>
        </is>
      </c>
      <c r="B18" s="12" t="n">
        <v>44140</v>
      </c>
    </row>
    <row r="19">
      <c r="A19" t="inlineStr">
        <is>
          <t>Maturity Date:</t>
        </is>
      </c>
      <c r="B19" s="12" t="n">
        <v>46696</v>
      </c>
    </row>
    <row r="20">
      <c r="A20" t="inlineStr">
        <is>
          <t>Loan Type:</t>
        </is>
      </c>
      <c r="B20" t="inlineStr">
        <is>
          <t>AMORTIZING</t>
        </is>
      </c>
    </row>
    <row r="21">
      <c r="A21" t="inlineStr">
        <is>
          <t>Source Document:</t>
        </is>
      </c>
      <c r="B21" t="inlineStr">
        <is>
          <t>Meiborg_Debt_Schedule_202511.xlsx</t>
        </is>
      </c>
    </row>
    <row r="23">
      <c r="A23" s="17" t="inlineStr">
        <is>
          <t>AI ANALYSIS</t>
        </is>
      </c>
    </row>
    <row r="24">
      <c r="A24" s="6" t="inlineStr">
        <is>
          <t>Loan Classification:</t>
        </is>
      </c>
      <c r="B24" s="6" t="inlineStr">
        <is>
          <t>Standard amortizing equipment loan</t>
        </is>
      </c>
    </row>
    <row r="25">
      <c r="A25" s="6" t="inlineStr">
        <is>
          <t>Collateral:</t>
        </is>
      </c>
      <c r="B25" s="6" t="inlineStr">
        <is>
          <t>25 Trailers</t>
        </is>
      </c>
    </row>
    <row r="26">
      <c r="A26" s="6" t="inlineStr">
        <is>
          <t>Months Remaining (from Nov 2025):</t>
        </is>
      </c>
      <c r="B26" s="6" t="n">
        <v>24</v>
      </c>
    </row>
    <row r="27">
      <c r="A27" s="6" t="inlineStr">
        <is>
          <t>Amortization Notes:</t>
        </is>
      </c>
      <c r="B27" s="6" t="inlineStr">
        <is>
          <t>Standard P&amp;I amortization to maturity</t>
        </is>
      </c>
    </row>
    <row r="29">
      <c r="A29" s="20" t="inlineStr">
        <is>
          <t>AMORTIZATION SCHEDULE</t>
        </is>
      </c>
    </row>
    <row r="30">
      <c r="A30" s="89" t="inlineStr">
        <is>
          <t>Month #</t>
        </is>
      </c>
      <c r="B30" s="89" t="inlineStr">
        <is>
          <t>Date</t>
        </is>
      </c>
      <c r="C30" s="89" t="inlineStr">
        <is>
          <t>Opening Balance</t>
        </is>
      </c>
      <c r="D30" s="89" t="inlineStr">
        <is>
          <t>Interest</t>
        </is>
      </c>
      <c r="E30" s="89" t="inlineStr">
        <is>
          <t>Principal</t>
        </is>
      </c>
      <c r="F30" s="89" t="inlineStr">
        <is>
          <t>Payment</t>
        </is>
      </c>
      <c r="G30" s="89" t="inlineStr">
        <is>
          <t>Closing Balance</t>
        </is>
      </c>
    </row>
    <row r="31">
      <c r="A31" s="34" t="n">
        <v>1</v>
      </c>
      <c r="B31" s="13" t="n">
        <v>45991</v>
      </c>
      <c r="C31" s="11">
        <f>B15</f>
        <v/>
      </c>
      <c r="D31" s="11">
        <f>MAX(0,C31*$B$16/12)</f>
        <v/>
      </c>
      <c r="E31" s="11">
        <f>MAX(0,MIN(C31,$B$17-D31))</f>
        <v/>
      </c>
      <c r="F31" s="11">
        <f>D31+E31</f>
        <v/>
      </c>
      <c r="G31" s="11">
        <f>MAX(0,C31-E31)</f>
        <v/>
      </c>
    </row>
    <row r="32">
      <c r="A32" s="34" t="n">
        <v>2</v>
      </c>
      <c r="B32" s="13" t="n">
        <v>46021</v>
      </c>
      <c r="C32" s="11">
        <f>G31</f>
        <v/>
      </c>
      <c r="D32" s="11">
        <f>MAX(0,C32*$B$16/12)</f>
        <v/>
      </c>
      <c r="E32" s="11">
        <f>MAX(0,MIN(C32,$B$17-D32))</f>
        <v/>
      </c>
      <c r="F32" s="11">
        <f>D32+E32</f>
        <v/>
      </c>
      <c r="G32" s="11">
        <f>MAX(0,C32-E32)</f>
        <v/>
      </c>
    </row>
    <row r="33">
      <c r="A33" s="34" t="n">
        <v>3</v>
      </c>
      <c r="B33" s="13" t="n">
        <v>46052</v>
      </c>
      <c r="C33" s="11">
        <f>G32</f>
        <v/>
      </c>
      <c r="D33" s="11">
        <f>MAX(0,C33*$B$16/12)</f>
        <v/>
      </c>
      <c r="E33" s="11">
        <f>MAX(0,MIN(C33,$B$17-D33))</f>
        <v/>
      </c>
      <c r="F33" s="11">
        <f>D33+E33</f>
        <v/>
      </c>
      <c r="G33" s="11">
        <f>MAX(0,C33-E33)</f>
        <v/>
      </c>
    </row>
    <row r="34">
      <c r="A34" s="34" t="n">
        <v>4</v>
      </c>
      <c r="B34" s="13" t="n">
        <v>46081</v>
      </c>
      <c r="C34" s="11">
        <f>G33</f>
        <v/>
      </c>
      <c r="D34" s="11">
        <f>MAX(0,C34*$B$16/12)</f>
        <v/>
      </c>
      <c r="E34" s="11">
        <f>MAX(0,MIN(C34,$B$17-D34))</f>
        <v/>
      </c>
      <c r="F34" s="11">
        <f>D34+E34</f>
        <v/>
      </c>
      <c r="G34" s="11">
        <f>MAX(0,C34-E34)</f>
        <v/>
      </c>
    </row>
    <row r="35">
      <c r="A35" s="34" t="n">
        <v>5</v>
      </c>
      <c r="B35" s="13" t="n">
        <v>46111</v>
      </c>
      <c r="C35" s="11">
        <f>G34</f>
        <v/>
      </c>
      <c r="D35" s="11">
        <f>MAX(0,C35*$B$16/12)</f>
        <v/>
      </c>
      <c r="E35" s="11">
        <f>MAX(0,MIN(C35,$B$17-D35))</f>
        <v/>
      </c>
      <c r="F35" s="11">
        <f>D35+E35</f>
        <v/>
      </c>
      <c r="G35" s="11">
        <f>MAX(0,C35-E35)</f>
        <v/>
      </c>
    </row>
    <row r="36">
      <c r="A36" s="34" t="n">
        <v>6</v>
      </c>
      <c r="B36" s="13" t="n">
        <v>46142</v>
      </c>
      <c r="C36" s="11">
        <f>G35</f>
        <v/>
      </c>
      <c r="D36" s="11">
        <f>MAX(0,C36*$B$16/12)</f>
        <v/>
      </c>
      <c r="E36" s="11">
        <f>MAX(0,MIN(C36,$B$17-D36))</f>
        <v/>
      </c>
      <c r="F36" s="11">
        <f>D36+E36</f>
        <v/>
      </c>
      <c r="G36" s="11">
        <f>MAX(0,C36-E36)</f>
        <v/>
      </c>
    </row>
    <row r="37">
      <c r="A37" s="34" t="n">
        <v>7</v>
      </c>
      <c r="B37" s="13" t="n">
        <v>46172</v>
      </c>
      <c r="C37" s="11">
        <f>G36</f>
        <v/>
      </c>
      <c r="D37" s="11">
        <f>MAX(0,C37*$B$16/12)</f>
        <v/>
      </c>
      <c r="E37" s="11">
        <f>MAX(0,MIN(C37,$B$17-D37))</f>
        <v/>
      </c>
      <c r="F37" s="11">
        <f>D37+E37</f>
        <v/>
      </c>
      <c r="G37" s="11">
        <f>MAX(0,C37-E37)</f>
        <v/>
      </c>
    </row>
    <row r="38">
      <c r="A38" s="34" t="n">
        <v>8</v>
      </c>
      <c r="B38" s="13" t="n">
        <v>46203</v>
      </c>
      <c r="C38" s="11">
        <f>G37</f>
        <v/>
      </c>
      <c r="D38" s="11">
        <f>MAX(0,C38*$B$16/12)</f>
        <v/>
      </c>
      <c r="E38" s="11">
        <f>MAX(0,MIN(C38,$B$17-D38))</f>
        <v/>
      </c>
      <c r="F38" s="11">
        <f>D38+E38</f>
        <v/>
      </c>
      <c r="G38" s="11">
        <f>MAX(0,C38-E38)</f>
        <v/>
      </c>
    </row>
    <row r="39">
      <c r="A39" s="34" t="n">
        <v>9</v>
      </c>
      <c r="B39" s="13" t="n">
        <v>46233</v>
      </c>
      <c r="C39" s="11">
        <f>G38</f>
        <v/>
      </c>
      <c r="D39" s="11">
        <f>MAX(0,C39*$B$16/12)</f>
        <v/>
      </c>
      <c r="E39" s="11">
        <f>MAX(0,MIN(C39,$B$17-D39))</f>
        <v/>
      </c>
      <c r="F39" s="11">
        <f>D39+E39</f>
        <v/>
      </c>
      <c r="G39" s="11">
        <f>MAX(0,C39-E39)</f>
        <v/>
      </c>
    </row>
    <row r="40">
      <c r="A40" s="34" t="n">
        <v>10</v>
      </c>
      <c r="B40" s="13" t="n">
        <v>46264</v>
      </c>
      <c r="C40" s="11">
        <f>G39</f>
        <v/>
      </c>
      <c r="D40" s="11">
        <f>MAX(0,C40*$B$16/12)</f>
        <v/>
      </c>
      <c r="E40" s="11">
        <f>MAX(0,MIN(C40,$B$17-D40))</f>
        <v/>
      </c>
      <c r="F40" s="11">
        <f>D40+E40</f>
        <v/>
      </c>
      <c r="G40" s="11">
        <f>MAX(0,C40-E40)</f>
        <v/>
      </c>
    </row>
    <row r="41">
      <c r="A41" s="34" t="n">
        <v>11</v>
      </c>
      <c r="B41" s="13" t="n">
        <v>46295</v>
      </c>
      <c r="C41" s="11">
        <f>G40</f>
        <v/>
      </c>
      <c r="D41" s="11">
        <f>MAX(0,C41*$B$16/12)</f>
        <v/>
      </c>
      <c r="E41" s="11">
        <f>MAX(0,MIN(C41,$B$17-D41))</f>
        <v/>
      </c>
      <c r="F41" s="11">
        <f>D41+E41</f>
        <v/>
      </c>
      <c r="G41" s="11">
        <f>MAX(0,C41-E41)</f>
        <v/>
      </c>
    </row>
    <row r="42">
      <c r="A42" s="34" t="n">
        <v>12</v>
      </c>
      <c r="B42" s="13" t="n">
        <v>46325</v>
      </c>
      <c r="C42" s="11">
        <f>G41</f>
        <v/>
      </c>
      <c r="D42" s="11">
        <f>MAX(0,C42*$B$16/12)</f>
        <v/>
      </c>
      <c r="E42" s="11">
        <f>MAX(0,MIN(C42,$B$17-D42))</f>
        <v/>
      </c>
      <c r="F42" s="11">
        <f>D42+E42</f>
        <v/>
      </c>
      <c r="G42" s="11">
        <f>MAX(0,C42-E42)</f>
        <v/>
      </c>
    </row>
    <row r="43">
      <c r="A43" s="34" t="n">
        <v>13</v>
      </c>
      <c r="B43" s="13" t="n">
        <v>46356</v>
      </c>
      <c r="C43" s="11">
        <f>G42</f>
        <v/>
      </c>
      <c r="D43" s="11">
        <f>MAX(0,C43*$B$16/12)</f>
        <v/>
      </c>
      <c r="E43" s="11">
        <f>MAX(0,MIN(C43,$B$17-D43))</f>
        <v/>
      </c>
      <c r="F43" s="11">
        <f>D43+E43</f>
        <v/>
      </c>
      <c r="G43" s="11">
        <f>MAX(0,C43-E43)</f>
        <v/>
      </c>
    </row>
    <row r="44">
      <c r="A44" s="34" t="n">
        <v>14</v>
      </c>
      <c r="B44" s="13" t="n">
        <v>46386</v>
      </c>
      <c r="C44" s="11">
        <f>G43</f>
        <v/>
      </c>
      <c r="D44" s="11">
        <f>MAX(0,C44*$B$16/12)</f>
        <v/>
      </c>
      <c r="E44" s="11">
        <f>MAX(0,MIN(C44,$B$17-D44))</f>
        <v/>
      </c>
      <c r="F44" s="11">
        <f>D44+E44</f>
        <v/>
      </c>
      <c r="G44" s="11">
        <f>MAX(0,C44-E44)</f>
        <v/>
      </c>
    </row>
    <row r="45">
      <c r="A45" s="34" t="n">
        <v>15</v>
      </c>
      <c r="B45" s="13" t="n">
        <v>46417</v>
      </c>
      <c r="C45" s="11">
        <f>G44</f>
        <v/>
      </c>
      <c r="D45" s="11">
        <f>MAX(0,C45*$B$16/12)</f>
        <v/>
      </c>
      <c r="E45" s="11">
        <f>MAX(0,MIN(C45,$B$17-D45))</f>
        <v/>
      </c>
      <c r="F45" s="11">
        <f>D45+E45</f>
        <v/>
      </c>
      <c r="G45" s="11">
        <f>MAX(0,C45-E45)</f>
        <v/>
      </c>
    </row>
    <row r="46">
      <c r="A46" s="34" t="n">
        <v>16</v>
      </c>
      <c r="B46" s="13" t="n">
        <v>46446</v>
      </c>
      <c r="C46" s="11">
        <f>G45</f>
        <v/>
      </c>
      <c r="D46" s="11">
        <f>MAX(0,C46*$B$16/12)</f>
        <v/>
      </c>
      <c r="E46" s="11">
        <f>MAX(0,MIN(C46,$B$17-D46))</f>
        <v/>
      </c>
      <c r="F46" s="11">
        <f>D46+E46</f>
        <v/>
      </c>
      <c r="G46" s="11">
        <f>MAX(0,C46-E46)</f>
        <v/>
      </c>
    </row>
    <row r="47">
      <c r="A47" s="34" t="n">
        <v>17</v>
      </c>
      <c r="B47" s="13" t="n">
        <v>46476</v>
      </c>
      <c r="C47" s="11">
        <f>G46</f>
        <v/>
      </c>
      <c r="D47" s="11">
        <f>MAX(0,C47*$B$16/12)</f>
        <v/>
      </c>
      <c r="E47" s="11">
        <f>MAX(0,MIN(C47,$B$17-D47))</f>
        <v/>
      </c>
      <c r="F47" s="11">
        <f>D47+E47</f>
        <v/>
      </c>
      <c r="G47" s="11">
        <f>MAX(0,C47-E47)</f>
        <v/>
      </c>
    </row>
    <row r="48">
      <c r="A48" s="34" t="n">
        <v>18</v>
      </c>
      <c r="B48" s="13" t="n">
        <v>46507</v>
      </c>
      <c r="C48" s="11">
        <f>G47</f>
        <v/>
      </c>
      <c r="D48" s="11">
        <f>MAX(0,C48*$B$16/12)</f>
        <v/>
      </c>
      <c r="E48" s="11">
        <f>MAX(0,MIN(C48,$B$17-D48))</f>
        <v/>
      </c>
      <c r="F48" s="11">
        <f>D48+E48</f>
        <v/>
      </c>
      <c r="G48" s="11">
        <f>MAX(0,C48-E48)</f>
        <v/>
      </c>
    </row>
    <row r="49">
      <c r="A49" s="34" t="n">
        <v>19</v>
      </c>
      <c r="B49" s="13" t="n">
        <v>46537</v>
      </c>
      <c r="C49" s="11">
        <f>G48</f>
        <v/>
      </c>
      <c r="D49" s="11">
        <f>MAX(0,C49*$B$16/12)</f>
        <v/>
      </c>
      <c r="E49" s="11">
        <f>MAX(0,MIN(C49,$B$17-D49))</f>
        <v/>
      </c>
      <c r="F49" s="11">
        <f>D49+E49</f>
        <v/>
      </c>
      <c r="G49" s="11">
        <f>MAX(0,C49-E49)</f>
        <v/>
      </c>
    </row>
    <row r="50">
      <c r="A50" s="34" t="n">
        <v>20</v>
      </c>
      <c r="B50" s="13" t="n">
        <v>46568</v>
      </c>
      <c r="C50" s="11">
        <f>G49</f>
        <v/>
      </c>
      <c r="D50" s="11">
        <f>MAX(0,C50*$B$16/12)</f>
        <v/>
      </c>
      <c r="E50" s="11">
        <f>MAX(0,MIN(C50,$B$17-D50))</f>
        <v/>
      </c>
      <c r="F50" s="11">
        <f>D50+E50</f>
        <v/>
      </c>
      <c r="G50" s="11">
        <f>MAX(0,C50-E50)</f>
        <v/>
      </c>
    </row>
    <row r="51">
      <c r="A51" s="34" t="n">
        <v>21</v>
      </c>
      <c r="B51" s="13" t="n">
        <v>46598</v>
      </c>
      <c r="C51" s="11">
        <f>G50</f>
        <v/>
      </c>
      <c r="D51" s="11">
        <f>MAX(0,C51*$B$16/12)</f>
        <v/>
      </c>
      <c r="E51" s="11">
        <f>MAX(0,MIN(C51,$B$17-D51))</f>
        <v/>
      </c>
      <c r="F51" s="11">
        <f>D51+E51</f>
        <v/>
      </c>
      <c r="G51" s="11">
        <f>MAX(0,C51-E51)</f>
        <v/>
      </c>
    </row>
    <row r="52">
      <c r="A52" s="34" t="n">
        <v>22</v>
      </c>
      <c r="B52" s="13" t="n">
        <v>46629</v>
      </c>
      <c r="C52" s="11">
        <f>G51</f>
        <v/>
      </c>
      <c r="D52" s="11">
        <f>MAX(0,C52*$B$16/12)</f>
        <v/>
      </c>
      <c r="E52" s="11">
        <f>MAX(0,MIN(C52,$B$17-D52))</f>
        <v/>
      </c>
      <c r="F52" s="11">
        <f>D52+E52</f>
        <v/>
      </c>
      <c r="G52" s="11">
        <f>MAX(0,C52-E52)</f>
        <v/>
      </c>
    </row>
    <row r="53">
      <c r="A53" s="34" t="n">
        <v>23</v>
      </c>
      <c r="B53" s="13" t="n">
        <v>46660</v>
      </c>
      <c r="C53" s="11">
        <f>G52</f>
        <v/>
      </c>
      <c r="D53" s="11">
        <f>MAX(0,C53*$B$16/12)</f>
        <v/>
      </c>
      <c r="E53" s="11">
        <f>MAX(0,MIN(C53,$B$17-D53))</f>
        <v/>
      </c>
      <c r="F53" s="11">
        <f>D53+E53</f>
        <v/>
      </c>
      <c r="G53" s="11">
        <f>MAX(0,C53-E53)</f>
        <v/>
      </c>
    </row>
    <row r="54">
      <c r="A54" s="34" t="n">
        <v>24</v>
      </c>
      <c r="B54" s="13" t="n">
        <v>46690</v>
      </c>
      <c r="C54" s="11">
        <f>G53</f>
        <v/>
      </c>
      <c r="D54" s="11">
        <f>MAX(0,C54*$B$16/12)</f>
        <v/>
      </c>
      <c r="E54" s="11">
        <f>MAX(0,MIN(C54,$B$17-D54))</f>
        <v/>
      </c>
      <c r="F54" s="11">
        <f>D54+E54</f>
        <v/>
      </c>
      <c r="G54" s="11">
        <f>MAX(0,C54-E54)</f>
        <v/>
      </c>
    </row>
    <row r="55">
      <c r="A55" s="89" t="inlineStr">
        <is>
          <t>TOTAL</t>
        </is>
      </c>
      <c r="B55" s="91" t="n"/>
      <c r="C55" s="91" t="n"/>
      <c r="D55" s="92">
        <f>SUM(D31:D54)</f>
        <v/>
      </c>
      <c r="E55" s="92">
        <f>SUM(E31:E54)</f>
        <v/>
      </c>
      <c r="F55" s="92">
        <f>SUM(F31:F54)</f>
        <v/>
      </c>
      <c r="G55" s="91" t="n"/>
    </row>
    <row r="58">
      <c r="A58" s="39" t="inlineStr">
        <is>
          <t>LOAN 2: NBH BANK</t>
        </is>
      </c>
    </row>
    <row r="60">
      <c r="A60" t="inlineStr">
        <is>
          <t>Loan ID:</t>
        </is>
      </c>
      <c r="B60" t="inlineStr">
        <is>
          <t>05-2982-000-000-00</t>
        </is>
      </c>
    </row>
    <row r="61">
      <c r="A61" t="inlineStr">
        <is>
          <t>Account:</t>
        </is>
      </c>
      <c r="B61" t="inlineStr">
        <is>
          <t>1909309411-3</t>
        </is>
      </c>
    </row>
    <row r="62">
      <c r="A62" t="inlineStr">
        <is>
          <t>Description:</t>
        </is>
      </c>
      <c r="B62" t="inlineStr">
        <is>
          <t>25 Trailers (Nov 2020)</t>
        </is>
      </c>
    </row>
    <row r="63">
      <c r="A63" t="inlineStr">
        <is>
          <t>Opening Balance (as of Nov 30, 2025):</t>
        </is>
      </c>
      <c r="B63" s="3" t="n">
        <v>329380</v>
      </c>
    </row>
    <row r="64">
      <c r="A64" t="inlineStr">
        <is>
          <t>Annual Interest Rate:</t>
        </is>
      </c>
      <c r="B64" s="4" t="n">
        <v>0.036</v>
      </c>
    </row>
    <row r="65">
      <c r="A65" t="inlineStr">
        <is>
          <t>Monthly Payment:</t>
        </is>
      </c>
      <c r="B65" s="3" t="n">
        <v>13836.24</v>
      </c>
    </row>
    <row r="66">
      <c r="A66" t="inlineStr">
        <is>
          <t>Origination Date:</t>
        </is>
      </c>
      <c r="B66" s="12" t="n">
        <v>44155</v>
      </c>
    </row>
    <row r="67">
      <c r="A67" t="inlineStr">
        <is>
          <t>Maturity Date:</t>
        </is>
      </c>
      <c r="B67" s="12" t="n">
        <v>46711</v>
      </c>
    </row>
    <row r="68">
      <c r="A68" t="inlineStr">
        <is>
          <t>Loan Type:</t>
        </is>
      </c>
      <c r="B68" t="inlineStr">
        <is>
          <t>AMORTIZING</t>
        </is>
      </c>
    </row>
    <row r="69">
      <c r="A69" t="inlineStr">
        <is>
          <t>Source Document:</t>
        </is>
      </c>
      <c r="B69" t="inlineStr">
        <is>
          <t>Meiborg_Debt_Schedule_202511.xlsx</t>
        </is>
      </c>
    </row>
    <row r="71">
      <c r="A71" s="17" t="inlineStr">
        <is>
          <t>AI ANALYSIS</t>
        </is>
      </c>
    </row>
    <row r="72">
      <c r="A72" s="6" t="inlineStr">
        <is>
          <t>Loan Classification:</t>
        </is>
      </c>
      <c r="B72" s="6" t="inlineStr">
        <is>
          <t>Standard amortizing equipment loan</t>
        </is>
      </c>
    </row>
    <row r="73">
      <c r="A73" s="6" t="inlineStr">
        <is>
          <t>Collateral:</t>
        </is>
      </c>
      <c r="B73" s="6" t="inlineStr">
        <is>
          <t>25 Trailers</t>
        </is>
      </c>
    </row>
    <row r="74">
      <c r="A74" s="6" t="inlineStr">
        <is>
          <t>Months Remaining (from Nov 2025):</t>
        </is>
      </c>
      <c r="B74" s="6" t="n">
        <v>24</v>
      </c>
    </row>
    <row r="75">
      <c r="A75" s="6" t="inlineStr">
        <is>
          <t>Amortization Notes:</t>
        </is>
      </c>
      <c r="B75" s="6" t="inlineStr">
        <is>
          <t>Standard P&amp;I amortization to maturity</t>
        </is>
      </c>
    </row>
    <row r="77">
      <c r="A77" s="20" t="inlineStr">
        <is>
          <t>AMORTIZATION SCHEDULE</t>
        </is>
      </c>
    </row>
    <row r="78">
      <c r="A78" s="89" t="inlineStr">
        <is>
          <t>Month #</t>
        </is>
      </c>
      <c r="B78" s="89" t="inlineStr">
        <is>
          <t>Date</t>
        </is>
      </c>
      <c r="C78" s="89" t="inlineStr">
        <is>
          <t>Opening Balance</t>
        </is>
      </c>
      <c r="D78" s="89" t="inlineStr">
        <is>
          <t>Interest</t>
        </is>
      </c>
      <c r="E78" s="89" t="inlineStr">
        <is>
          <t>Principal</t>
        </is>
      </c>
      <c r="F78" s="89" t="inlineStr">
        <is>
          <t>Payment</t>
        </is>
      </c>
      <c r="G78" s="89" t="inlineStr">
        <is>
          <t>Closing Balance</t>
        </is>
      </c>
    </row>
    <row r="79">
      <c r="A79" s="34" t="n">
        <v>1</v>
      </c>
      <c r="B79" s="13" t="n">
        <v>45991</v>
      </c>
      <c r="C79" s="11">
        <f>B63</f>
        <v/>
      </c>
      <c r="D79" s="11">
        <f>MAX(0,C79*$B$64/12)</f>
        <v/>
      </c>
      <c r="E79" s="11">
        <f>MAX(0,MIN(C79,$B$65-D79))</f>
        <v/>
      </c>
      <c r="F79" s="11">
        <f>D79+E79</f>
        <v/>
      </c>
      <c r="G79" s="11">
        <f>MAX(0,C79-E79)</f>
        <v/>
      </c>
    </row>
    <row r="80">
      <c r="A80" s="34" t="n">
        <v>2</v>
      </c>
      <c r="B80" s="13" t="n">
        <v>46021</v>
      </c>
      <c r="C80" s="11">
        <f>G79</f>
        <v/>
      </c>
      <c r="D80" s="11">
        <f>MAX(0,C80*$B$64/12)</f>
        <v/>
      </c>
      <c r="E80" s="11">
        <f>MAX(0,MIN(C80,$B$65-D80))</f>
        <v/>
      </c>
      <c r="F80" s="11">
        <f>D80+E80</f>
        <v/>
      </c>
      <c r="G80" s="11">
        <f>MAX(0,C80-E80)</f>
        <v/>
      </c>
    </row>
    <row r="81">
      <c r="A81" s="34" t="n">
        <v>3</v>
      </c>
      <c r="B81" s="13" t="n">
        <v>46052</v>
      </c>
      <c r="C81" s="11">
        <f>G80</f>
        <v/>
      </c>
      <c r="D81" s="11">
        <f>MAX(0,C81*$B$64/12)</f>
        <v/>
      </c>
      <c r="E81" s="11">
        <f>MAX(0,MIN(C81,$B$65-D81))</f>
        <v/>
      </c>
      <c r="F81" s="11">
        <f>D81+E81</f>
        <v/>
      </c>
      <c r="G81" s="11">
        <f>MAX(0,C81-E81)</f>
        <v/>
      </c>
    </row>
    <row r="82">
      <c r="A82" s="34" t="n">
        <v>4</v>
      </c>
      <c r="B82" s="13" t="n">
        <v>46081</v>
      </c>
      <c r="C82" s="11">
        <f>G81</f>
        <v/>
      </c>
      <c r="D82" s="11">
        <f>MAX(0,C82*$B$64/12)</f>
        <v/>
      </c>
      <c r="E82" s="11">
        <f>MAX(0,MIN(C82,$B$65-D82))</f>
        <v/>
      </c>
      <c r="F82" s="11">
        <f>D82+E82</f>
        <v/>
      </c>
      <c r="G82" s="11">
        <f>MAX(0,C82-E82)</f>
        <v/>
      </c>
    </row>
    <row r="83">
      <c r="A83" s="34" t="n">
        <v>5</v>
      </c>
      <c r="B83" s="13" t="n">
        <v>46111</v>
      </c>
      <c r="C83" s="11">
        <f>G82</f>
        <v/>
      </c>
      <c r="D83" s="11">
        <f>MAX(0,C83*$B$64/12)</f>
        <v/>
      </c>
      <c r="E83" s="11">
        <f>MAX(0,MIN(C83,$B$65-D83))</f>
        <v/>
      </c>
      <c r="F83" s="11">
        <f>D83+E83</f>
        <v/>
      </c>
      <c r="G83" s="11">
        <f>MAX(0,C83-E83)</f>
        <v/>
      </c>
    </row>
    <row r="84">
      <c r="A84" s="34" t="n">
        <v>6</v>
      </c>
      <c r="B84" s="13" t="n">
        <v>46142</v>
      </c>
      <c r="C84" s="11">
        <f>G83</f>
        <v/>
      </c>
      <c r="D84" s="11">
        <f>MAX(0,C84*$B$64/12)</f>
        <v/>
      </c>
      <c r="E84" s="11">
        <f>MAX(0,MIN(C84,$B$65-D84))</f>
        <v/>
      </c>
      <c r="F84" s="11">
        <f>D84+E84</f>
        <v/>
      </c>
      <c r="G84" s="11">
        <f>MAX(0,C84-E84)</f>
        <v/>
      </c>
    </row>
    <row r="85">
      <c r="A85" s="34" t="n">
        <v>7</v>
      </c>
      <c r="B85" s="13" t="n">
        <v>46172</v>
      </c>
      <c r="C85" s="11">
        <f>G84</f>
        <v/>
      </c>
      <c r="D85" s="11">
        <f>MAX(0,C85*$B$64/12)</f>
        <v/>
      </c>
      <c r="E85" s="11">
        <f>MAX(0,MIN(C85,$B$65-D85))</f>
        <v/>
      </c>
      <c r="F85" s="11">
        <f>D85+E85</f>
        <v/>
      </c>
      <c r="G85" s="11">
        <f>MAX(0,C85-E85)</f>
        <v/>
      </c>
    </row>
    <row r="86">
      <c r="A86" s="34" t="n">
        <v>8</v>
      </c>
      <c r="B86" s="13" t="n">
        <v>46203</v>
      </c>
      <c r="C86" s="11">
        <f>G85</f>
        <v/>
      </c>
      <c r="D86" s="11">
        <f>MAX(0,C86*$B$64/12)</f>
        <v/>
      </c>
      <c r="E86" s="11">
        <f>MAX(0,MIN(C86,$B$65-D86))</f>
        <v/>
      </c>
      <c r="F86" s="11">
        <f>D86+E86</f>
        <v/>
      </c>
      <c r="G86" s="11">
        <f>MAX(0,C86-E86)</f>
        <v/>
      </c>
    </row>
    <row r="87">
      <c r="A87" s="34" t="n">
        <v>9</v>
      </c>
      <c r="B87" s="13" t="n">
        <v>46233</v>
      </c>
      <c r="C87" s="11">
        <f>G86</f>
        <v/>
      </c>
      <c r="D87" s="11">
        <f>MAX(0,C87*$B$64/12)</f>
        <v/>
      </c>
      <c r="E87" s="11">
        <f>MAX(0,MIN(C87,$B$65-D87))</f>
        <v/>
      </c>
      <c r="F87" s="11">
        <f>D87+E87</f>
        <v/>
      </c>
      <c r="G87" s="11">
        <f>MAX(0,C87-E87)</f>
        <v/>
      </c>
    </row>
    <row r="88">
      <c r="A88" s="34" t="n">
        <v>10</v>
      </c>
      <c r="B88" s="13" t="n">
        <v>46264</v>
      </c>
      <c r="C88" s="11">
        <f>G87</f>
        <v/>
      </c>
      <c r="D88" s="11">
        <f>MAX(0,C88*$B$64/12)</f>
        <v/>
      </c>
      <c r="E88" s="11">
        <f>MAX(0,MIN(C88,$B$65-D88))</f>
        <v/>
      </c>
      <c r="F88" s="11">
        <f>D88+E88</f>
        <v/>
      </c>
      <c r="G88" s="11">
        <f>MAX(0,C88-E88)</f>
        <v/>
      </c>
    </row>
    <row r="89">
      <c r="A89" s="34" t="n">
        <v>11</v>
      </c>
      <c r="B89" s="13" t="n">
        <v>46295</v>
      </c>
      <c r="C89" s="11">
        <f>G88</f>
        <v/>
      </c>
      <c r="D89" s="11">
        <f>MAX(0,C89*$B$64/12)</f>
        <v/>
      </c>
      <c r="E89" s="11">
        <f>MAX(0,MIN(C89,$B$65-D89))</f>
        <v/>
      </c>
      <c r="F89" s="11">
        <f>D89+E89</f>
        <v/>
      </c>
      <c r="G89" s="11">
        <f>MAX(0,C89-E89)</f>
        <v/>
      </c>
    </row>
    <row r="90">
      <c r="A90" s="34" t="n">
        <v>12</v>
      </c>
      <c r="B90" s="13" t="n">
        <v>46325</v>
      </c>
      <c r="C90" s="11">
        <f>G89</f>
        <v/>
      </c>
      <c r="D90" s="11">
        <f>MAX(0,C90*$B$64/12)</f>
        <v/>
      </c>
      <c r="E90" s="11">
        <f>MAX(0,MIN(C90,$B$65-D90))</f>
        <v/>
      </c>
      <c r="F90" s="11">
        <f>D90+E90</f>
        <v/>
      </c>
      <c r="G90" s="11">
        <f>MAX(0,C90-E90)</f>
        <v/>
      </c>
    </row>
    <row r="91">
      <c r="A91" s="34" t="n">
        <v>13</v>
      </c>
      <c r="B91" s="13" t="n">
        <v>46356</v>
      </c>
      <c r="C91" s="11">
        <f>G90</f>
        <v/>
      </c>
      <c r="D91" s="11">
        <f>MAX(0,C91*$B$64/12)</f>
        <v/>
      </c>
      <c r="E91" s="11">
        <f>MAX(0,MIN(C91,$B$65-D91))</f>
        <v/>
      </c>
      <c r="F91" s="11">
        <f>D91+E91</f>
        <v/>
      </c>
      <c r="G91" s="11">
        <f>MAX(0,C91-E91)</f>
        <v/>
      </c>
    </row>
    <row r="92">
      <c r="A92" s="34" t="n">
        <v>14</v>
      </c>
      <c r="B92" s="13" t="n">
        <v>46386</v>
      </c>
      <c r="C92" s="11">
        <f>G91</f>
        <v/>
      </c>
      <c r="D92" s="11">
        <f>MAX(0,C92*$B$64/12)</f>
        <v/>
      </c>
      <c r="E92" s="11">
        <f>MAX(0,MIN(C92,$B$65-D92))</f>
        <v/>
      </c>
      <c r="F92" s="11">
        <f>D92+E92</f>
        <v/>
      </c>
      <c r="G92" s="11">
        <f>MAX(0,C92-E92)</f>
        <v/>
      </c>
    </row>
    <row r="93">
      <c r="A93" s="34" t="n">
        <v>15</v>
      </c>
      <c r="B93" s="13" t="n">
        <v>46417</v>
      </c>
      <c r="C93" s="11">
        <f>G92</f>
        <v/>
      </c>
      <c r="D93" s="11">
        <f>MAX(0,C93*$B$64/12)</f>
        <v/>
      </c>
      <c r="E93" s="11">
        <f>MAX(0,MIN(C93,$B$65-D93))</f>
        <v/>
      </c>
      <c r="F93" s="11">
        <f>D93+E93</f>
        <v/>
      </c>
      <c r="G93" s="11">
        <f>MAX(0,C93-E93)</f>
        <v/>
      </c>
    </row>
    <row r="94">
      <c r="A94" s="34" t="n">
        <v>16</v>
      </c>
      <c r="B94" s="13" t="n">
        <v>46446</v>
      </c>
      <c r="C94" s="11">
        <f>G93</f>
        <v/>
      </c>
      <c r="D94" s="11">
        <f>MAX(0,C94*$B$64/12)</f>
        <v/>
      </c>
      <c r="E94" s="11">
        <f>MAX(0,MIN(C94,$B$65-D94))</f>
        <v/>
      </c>
      <c r="F94" s="11">
        <f>D94+E94</f>
        <v/>
      </c>
      <c r="G94" s="11">
        <f>MAX(0,C94-E94)</f>
        <v/>
      </c>
    </row>
    <row r="95">
      <c r="A95" s="34" t="n">
        <v>17</v>
      </c>
      <c r="B95" s="13" t="n">
        <v>46476</v>
      </c>
      <c r="C95" s="11">
        <f>G94</f>
        <v/>
      </c>
      <c r="D95" s="11">
        <f>MAX(0,C95*$B$64/12)</f>
        <v/>
      </c>
      <c r="E95" s="11">
        <f>MAX(0,MIN(C95,$B$65-D95))</f>
        <v/>
      </c>
      <c r="F95" s="11">
        <f>D95+E95</f>
        <v/>
      </c>
      <c r="G95" s="11">
        <f>MAX(0,C95-E95)</f>
        <v/>
      </c>
    </row>
    <row r="96">
      <c r="A96" s="34" t="n">
        <v>18</v>
      </c>
      <c r="B96" s="13" t="n">
        <v>46507</v>
      </c>
      <c r="C96" s="11">
        <f>G95</f>
        <v/>
      </c>
      <c r="D96" s="11">
        <f>MAX(0,C96*$B$64/12)</f>
        <v/>
      </c>
      <c r="E96" s="11">
        <f>MAX(0,MIN(C96,$B$65-D96))</f>
        <v/>
      </c>
      <c r="F96" s="11">
        <f>D96+E96</f>
        <v/>
      </c>
      <c r="G96" s="11">
        <f>MAX(0,C96-E96)</f>
        <v/>
      </c>
    </row>
    <row r="97">
      <c r="A97" s="34" t="n">
        <v>19</v>
      </c>
      <c r="B97" s="13" t="n">
        <v>46537</v>
      </c>
      <c r="C97" s="11">
        <f>G96</f>
        <v/>
      </c>
      <c r="D97" s="11">
        <f>MAX(0,C97*$B$64/12)</f>
        <v/>
      </c>
      <c r="E97" s="11">
        <f>MAX(0,MIN(C97,$B$65-D97))</f>
        <v/>
      </c>
      <c r="F97" s="11">
        <f>D97+E97</f>
        <v/>
      </c>
      <c r="G97" s="11">
        <f>MAX(0,C97-E97)</f>
        <v/>
      </c>
    </row>
    <row r="98">
      <c r="A98" s="34" t="n">
        <v>20</v>
      </c>
      <c r="B98" s="13" t="n">
        <v>46568</v>
      </c>
      <c r="C98" s="11">
        <f>G97</f>
        <v/>
      </c>
      <c r="D98" s="11">
        <f>MAX(0,C98*$B$64/12)</f>
        <v/>
      </c>
      <c r="E98" s="11">
        <f>MAX(0,MIN(C98,$B$65-D98))</f>
        <v/>
      </c>
      <c r="F98" s="11">
        <f>D98+E98</f>
        <v/>
      </c>
      <c r="G98" s="11">
        <f>MAX(0,C98-E98)</f>
        <v/>
      </c>
    </row>
    <row r="99">
      <c r="A99" s="34" t="n">
        <v>21</v>
      </c>
      <c r="B99" s="13" t="n">
        <v>46598</v>
      </c>
      <c r="C99" s="11">
        <f>G98</f>
        <v/>
      </c>
      <c r="D99" s="11">
        <f>MAX(0,C99*$B$64/12)</f>
        <v/>
      </c>
      <c r="E99" s="11">
        <f>MAX(0,MIN(C99,$B$65-D99))</f>
        <v/>
      </c>
      <c r="F99" s="11">
        <f>D99+E99</f>
        <v/>
      </c>
      <c r="G99" s="11">
        <f>MAX(0,C99-E99)</f>
        <v/>
      </c>
    </row>
    <row r="100">
      <c r="A100" s="34" t="n">
        <v>22</v>
      </c>
      <c r="B100" s="13" t="n">
        <v>46629</v>
      </c>
      <c r="C100" s="11">
        <f>G99</f>
        <v/>
      </c>
      <c r="D100" s="11">
        <f>MAX(0,C100*$B$64/12)</f>
        <v/>
      </c>
      <c r="E100" s="11">
        <f>MAX(0,MIN(C100,$B$65-D100))</f>
        <v/>
      </c>
      <c r="F100" s="11">
        <f>D100+E100</f>
        <v/>
      </c>
      <c r="G100" s="11">
        <f>MAX(0,C100-E100)</f>
        <v/>
      </c>
    </row>
    <row r="101">
      <c r="A101" s="34" t="n">
        <v>23</v>
      </c>
      <c r="B101" s="13" t="n">
        <v>46660</v>
      </c>
      <c r="C101" s="11">
        <f>G100</f>
        <v/>
      </c>
      <c r="D101" s="11">
        <f>MAX(0,C101*$B$64/12)</f>
        <v/>
      </c>
      <c r="E101" s="11">
        <f>MAX(0,MIN(C101,$B$65-D101))</f>
        <v/>
      </c>
      <c r="F101" s="11">
        <f>D101+E101</f>
        <v/>
      </c>
      <c r="G101" s="11">
        <f>MAX(0,C101-E101)</f>
        <v/>
      </c>
    </row>
    <row r="102">
      <c r="A102" s="34" t="n">
        <v>24</v>
      </c>
      <c r="B102" s="13" t="n">
        <v>46690</v>
      </c>
      <c r="C102" s="11">
        <f>G101</f>
        <v/>
      </c>
      <c r="D102" s="11">
        <f>MAX(0,C102*$B$64/12)</f>
        <v/>
      </c>
      <c r="E102" s="11">
        <f>MAX(0,MIN(C102,$B$65-D102))</f>
        <v/>
      </c>
      <c r="F102" s="11">
        <f>D102+E102</f>
        <v/>
      </c>
      <c r="G102" s="11">
        <f>MAX(0,C102-E102)</f>
        <v/>
      </c>
    </row>
    <row r="103">
      <c r="A103" s="89" t="inlineStr">
        <is>
          <t>TOTAL</t>
        </is>
      </c>
      <c r="B103" s="91" t="n"/>
      <c r="C103" s="91" t="n"/>
      <c r="D103" s="92">
        <f>SUM(D79:D102)</f>
        <v/>
      </c>
      <c r="E103" s="92">
        <f>SUM(E79:E102)</f>
        <v/>
      </c>
      <c r="F103" s="92">
        <f>SUM(F79:F102)</f>
        <v/>
      </c>
      <c r="G103" s="91" t="n"/>
    </row>
    <row r="106">
      <c r="A106" s="39" t="inlineStr">
        <is>
          <t>LOAN 3: PEOPLES BANK (M&amp;T)</t>
        </is>
      </c>
    </row>
    <row r="108">
      <c r="A108" t="inlineStr">
        <is>
          <t>Loan ID:</t>
        </is>
      </c>
      <c r="B108" t="inlineStr">
        <is>
          <t>05-2983-000-000-00</t>
        </is>
      </c>
    </row>
    <row r="109">
      <c r="A109" t="inlineStr">
        <is>
          <t>Account:</t>
        </is>
      </c>
      <c r="B109" t="inlineStr">
        <is>
          <t>001-0006398-001</t>
        </is>
      </c>
    </row>
    <row r="110">
      <c r="A110" t="inlineStr">
        <is>
          <t>Description:</t>
        </is>
      </c>
      <c r="B110" t="inlineStr">
        <is>
          <t>25 Trailers (Dec 2020)</t>
        </is>
      </c>
    </row>
    <row r="111">
      <c r="A111" t="inlineStr">
        <is>
          <t>Opening Balance (as of Nov 30, 2025):</t>
        </is>
      </c>
      <c r="B111" s="3" t="n">
        <v>347939</v>
      </c>
    </row>
    <row r="112">
      <c r="A112" t="inlineStr">
        <is>
          <t>Annual Interest Rate:</t>
        </is>
      </c>
      <c r="B112" s="4" t="n">
        <v>0.034</v>
      </c>
    </row>
    <row r="113">
      <c r="A113" t="inlineStr">
        <is>
          <t>Monthly Payment:</t>
        </is>
      </c>
      <c r="B113" s="3" t="n">
        <v>12941.28</v>
      </c>
    </row>
    <row r="114">
      <c r="A114" t="inlineStr">
        <is>
          <t>Origination Date:</t>
        </is>
      </c>
      <c r="B114" s="12" t="n">
        <v>44194</v>
      </c>
    </row>
    <row r="115">
      <c r="A115" t="inlineStr">
        <is>
          <t>Maturity Date:</t>
        </is>
      </c>
      <c r="B115" s="12" t="n">
        <v>46841</v>
      </c>
    </row>
    <row r="116">
      <c r="A116" t="inlineStr">
        <is>
          <t>Loan Type:</t>
        </is>
      </c>
      <c r="B116" t="inlineStr">
        <is>
          <t>AMORTIZING</t>
        </is>
      </c>
    </row>
    <row r="117">
      <c r="A117" t="inlineStr">
        <is>
          <t>Source Document:</t>
        </is>
      </c>
      <c r="B117" t="inlineStr">
        <is>
          <t>Meiborg_Debt_Schedule_202511.xlsx</t>
        </is>
      </c>
    </row>
    <row r="119">
      <c r="A119" s="17" t="inlineStr">
        <is>
          <t>AI ANALYSIS</t>
        </is>
      </c>
    </row>
    <row r="120">
      <c r="A120" s="6" t="inlineStr">
        <is>
          <t>Loan Classification:</t>
        </is>
      </c>
      <c r="B120" s="6" t="inlineStr">
        <is>
          <t>Standard amortizing equipment loan</t>
        </is>
      </c>
    </row>
    <row r="121">
      <c r="A121" s="6" t="inlineStr">
        <is>
          <t>Collateral:</t>
        </is>
      </c>
      <c r="B121" s="6" t="inlineStr">
        <is>
          <t>25 Trailers</t>
        </is>
      </c>
    </row>
    <row r="122">
      <c r="A122" s="6" t="inlineStr">
        <is>
          <t>Months Remaining (from Nov 2025):</t>
        </is>
      </c>
      <c r="B122" s="6" t="n">
        <v>28</v>
      </c>
    </row>
    <row r="123">
      <c r="A123" s="6" t="inlineStr">
        <is>
          <t>Amortization Notes:</t>
        </is>
      </c>
      <c r="B123" s="6" t="inlineStr">
        <is>
          <t>Standard P&amp;I amortization to maturity</t>
        </is>
      </c>
    </row>
    <row r="125">
      <c r="A125" s="20" t="inlineStr">
        <is>
          <t>AMORTIZATION SCHEDULE</t>
        </is>
      </c>
    </row>
    <row r="126">
      <c r="A126" s="89" t="inlineStr">
        <is>
          <t>Month #</t>
        </is>
      </c>
      <c r="B126" s="89" t="inlineStr">
        <is>
          <t>Date</t>
        </is>
      </c>
      <c r="C126" s="89" t="inlineStr">
        <is>
          <t>Opening Balance</t>
        </is>
      </c>
      <c r="D126" s="89" t="inlineStr">
        <is>
          <t>Interest</t>
        </is>
      </c>
      <c r="E126" s="89" t="inlineStr">
        <is>
          <t>Principal</t>
        </is>
      </c>
      <c r="F126" s="89" t="inlineStr">
        <is>
          <t>Payment</t>
        </is>
      </c>
      <c r="G126" s="89" t="inlineStr">
        <is>
          <t>Closing Balance</t>
        </is>
      </c>
    </row>
    <row r="127">
      <c r="A127" s="34" t="n">
        <v>1</v>
      </c>
      <c r="B127" s="13" t="n">
        <v>45991</v>
      </c>
      <c r="C127" s="11">
        <f>B111</f>
        <v/>
      </c>
      <c r="D127" s="11">
        <f>MAX(0,C127*$B$112/12)</f>
        <v/>
      </c>
      <c r="E127" s="11">
        <f>MAX(0,MIN(C127,$B$113-D127))</f>
        <v/>
      </c>
      <c r="F127" s="11">
        <f>D127+E127</f>
        <v/>
      </c>
      <c r="G127" s="11">
        <f>MAX(0,C127-E127)</f>
        <v/>
      </c>
    </row>
    <row r="128">
      <c r="A128" s="34" t="n">
        <v>2</v>
      </c>
      <c r="B128" s="13" t="n">
        <v>46021</v>
      </c>
      <c r="C128" s="11">
        <f>G127</f>
        <v/>
      </c>
      <c r="D128" s="11">
        <f>MAX(0,C128*$B$112/12)</f>
        <v/>
      </c>
      <c r="E128" s="11">
        <f>MAX(0,MIN(C128,$B$113-D128))</f>
        <v/>
      </c>
      <c r="F128" s="11">
        <f>D128+E128</f>
        <v/>
      </c>
      <c r="G128" s="11">
        <f>MAX(0,C128-E128)</f>
        <v/>
      </c>
    </row>
    <row r="129">
      <c r="A129" s="34" t="n">
        <v>3</v>
      </c>
      <c r="B129" s="13" t="n">
        <v>46052</v>
      </c>
      <c r="C129" s="11">
        <f>G128</f>
        <v/>
      </c>
      <c r="D129" s="11">
        <f>MAX(0,C129*$B$112/12)</f>
        <v/>
      </c>
      <c r="E129" s="11">
        <f>MAX(0,MIN(C129,$B$113-D129))</f>
        <v/>
      </c>
      <c r="F129" s="11">
        <f>D129+E129</f>
        <v/>
      </c>
      <c r="G129" s="11">
        <f>MAX(0,C129-E129)</f>
        <v/>
      </c>
    </row>
    <row r="130">
      <c r="A130" s="34" t="n">
        <v>4</v>
      </c>
      <c r="B130" s="13" t="n">
        <v>46081</v>
      </c>
      <c r="C130" s="11">
        <f>G129</f>
        <v/>
      </c>
      <c r="D130" s="11">
        <f>MAX(0,C130*$B$112/12)</f>
        <v/>
      </c>
      <c r="E130" s="11">
        <f>MAX(0,MIN(C130,$B$113-D130))</f>
        <v/>
      </c>
      <c r="F130" s="11">
        <f>D130+E130</f>
        <v/>
      </c>
      <c r="G130" s="11">
        <f>MAX(0,C130-E130)</f>
        <v/>
      </c>
    </row>
    <row r="131">
      <c r="A131" s="34" t="n">
        <v>5</v>
      </c>
      <c r="B131" s="13" t="n">
        <v>46111</v>
      </c>
      <c r="C131" s="11">
        <f>G130</f>
        <v/>
      </c>
      <c r="D131" s="11">
        <f>MAX(0,C131*$B$112/12)</f>
        <v/>
      </c>
      <c r="E131" s="11">
        <f>MAX(0,MIN(C131,$B$113-D131))</f>
        <v/>
      </c>
      <c r="F131" s="11">
        <f>D131+E131</f>
        <v/>
      </c>
      <c r="G131" s="11">
        <f>MAX(0,C131-E131)</f>
        <v/>
      </c>
    </row>
    <row r="132">
      <c r="A132" s="34" t="n">
        <v>6</v>
      </c>
      <c r="B132" s="13" t="n">
        <v>46142</v>
      </c>
      <c r="C132" s="11">
        <f>G131</f>
        <v/>
      </c>
      <c r="D132" s="11">
        <f>MAX(0,C132*$B$112/12)</f>
        <v/>
      </c>
      <c r="E132" s="11">
        <f>MAX(0,MIN(C132,$B$113-D132))</f>
        <v/>
      </c>
      <c r="F132" s="11">
        <f>D132+E132</f>
        <v/>
      </c>
      <c r="G132" s="11">
        <f>MAX(0,C132-E132)</f>
        <v/>
      </c>
    </row>
    <row r="133">
      <c r="A133" s="34" t="n">
        <v>7</v>
      </c>
      <c r="B133" s="13" t="n">
        <v>46172</v>
      </c>
      <c r="C133" s="11">
        <f>G132</f>
        <v/>
      </c>
      <c r="D133" s="11">
        <f>MAX(0,C133*$B$112/12)</f>
        <v/>
      </c>
      <c r="E133" s="11">
        <f>MAX(0,MIN(C133,$B$113-D133))</f>
        <v/>
      </c>
      <c r="F133" s="11">
        <f>D133+E133</f>
        <v/>
      </c>
      <c r="G133" s="11">
        <f>MAX(0,C133-E133)</f>
        <v/>
      </c>
    </row>
    <row r="134">
      <c r="A134" s="34" t="n">
        <v>8</v>
      </c>
      <c r="B134" s="13" t="n">
        <v>46203</v>
      </c>
      <c r="C134" s="11">
        <f>G133</f>
        <v/>
      </c>
      <c r="D134" s="11">
        <f>MAX(0,C134*$B$112/12)</f>
        <v/>
      </c>
      <c r="E134" s="11">
        <f>MAX(0,MIN(C134,$B$113-D134))</f>
        <v/>
      </c>
      <c r="F134" s="11">
        <f>D134+E134</f>
        <v/>
      </c>
      <c r="G134" s="11">
        <f>MAX(0,C134-E134)</f>
        <v/>
      </c>
    </row>
    <row r="135">
      <c r="A135" s="34" t="n">
        <v>9</v>
      </c>
      <c r="B135" s="13" t="n">
        <v>46233</v>
      </c>
      <c r="C135" s="11">
        <f>G134</f>
        <v/>
      </c>
      <c r="D135" s="11">
        <f>MAX(0,C135*$B$112/12)</f>
        <v/>
      </c>
      <c r="E135" s="11">
        <f>MAX(0,MIN(C135,$B$113-D135))</f>
        <v/>
      </c>
      <c r="F135" s="11">
        <f>D135+E135</f>
        <v/>
      </c>
      <c r="G135" s="11">
        <f>MAX(0,C135-E135)</f>
        <v/>
      </c>
    </row>
    <row r="136">
      <c r="A136" s="34" t="n">
        <v>10</v>
      </c>
      <c r="B136" s="13" t="n">
        <v>46264</v>
      </c>
      <c r="C136" s="11">
        <f>G135</f>
        <v/>
      </c>
      <c r="D136" s="11">
        <f>MAX(0,C136*$B$112/12)</f>
        <v/>
      </c>
      <c r="E136" s="11">
        <f>MAX(0,MIN(C136,$B$113-D136))</f>
        <v/>
      </c>
      <c r="F136" s="11">
        <f>D136+E136</f>
        <v/>
      </c>
      <c r="G136" s="11">
        <f>MAX(0,C136-E136)</f>
        <v/>
      </c>
    </row>
    <row r="137">
      <c r="A137" s="34" t="n">
        <v>11</v>
      </c>
      <c r="B137" s="13" t="n">
        <v>46295</v>
      </c>
      <c r="C137" s="11">
        <f>G136</f>
        <v/>
      </c>
      <c r="D137" s="11">
        <f>MAX(0,C137*$B$112/12)</f>
        <v/>
      </c>
      <c r="E137" s="11">
        <f>MAX(0,MIN(C137,$B$113-D137))</f>
        <v/>
      </c>
      <c r="F137" s="11">
        <f>D137+E137</f>
        <v/>
      </c>
      <c r="G137" s="11">
        <f>MAX(0,C137-E137)</f>
        <v/>
      </c>
    </row>
    <row r="138">
      <c r="A138" s="34" t="n">
        <v>12</v>
      </c>
      <c r="B138" s="13" t="n">
        <v>46325</v>
      </c>
      <c r="C138" s="11">
        <f>G137</f>
        <v/>
      </c>
      <c r="D138" s="11">
        <f>MAX(0,C138*$B$112/12)</f>
        <v/>
      </c>
      <c r="E138" s="11">
        <f>MAX(0,MIN(C138,$B$113-D138))</f>
        <v/>
      </c>
      <c r="F138" s="11">
        <f>D138+E138</f>
        <v/>
      </c>
      <c r="G138" s="11">
        <f>MAX(0,C138-E138)</f>
        <v/>
      </c>
    </row>
    <row r="139">
      <c r="A139" s="34" t="n">
        <v>13</v>
      </c>
      <c r="B139" s="13" t="n">
        <v>46356</v>
      </c>
      <c r="C139" s="11">
        <f>G138</f>
        <v/>
      </c>
      <c r="D139" s="11">
        <f>MAX(0,C139*$B$112/12)</f>
        <v/>
      </c>
      <c r="E139" s="11">
        <f>MAX(0,MIN(C139,$B$113-D139))</f>
        <v/>
      </c>
      <c r="F139" s="11">
        <f>D139+E139</f>
        <v/>
      </c>
      <c r="G139" s="11">
        <f>MAX(0,C139-E139)</f>
        <v/>
      </c>
    </row>
    <row r="140">
      <c r="A140" s="34" t="n">
        <v>14</v>
      </c>
      <c r="B140" s="13" t="n">
        <v>46386</v>
      </c>
      <c r="C140" s="11">
        <f>G139</f>
        <v/>
      </c>
      <c r="D140" s="11">
        <f>MAX(0,C140*$B$112/12)</f>
        <v/>
      </c>
      <c r="E140" s="11">
        <f>MAX(0,MIN(C140,$B$113-D140))</f>
        <v/>
      </c>
      <c r="F140" s="11">
        <f>D140+E140</f>
        <v/>
      </c>
      <c r="G140" s="11">
        <f>MAX(0,C140-E140)</f>
        <v/>
      </c>
    </row>
    <row r="141">
      <c r="A141" s="34" t="n">
        <v>15</v>
      </c>
      <c r="B141" s="13" t="n">
        <v>46417</v>
      </c>
      <c r="C141" s="11">
        <f>G140</f>
        <v/>
      </c>
      <c r="D141" s="11">
        <f>MAX(0,C141*$B$112/12)</f>
        <v/>
      </c>
      <c r="E141" s="11">
        <f>MAX(0,MIN(C141,$B$113-D141))</f>
        <v/>
      </c>
      <c r="F141" s="11">
        <f>D141+E141</f>
        <v/>
      </c>
      <c r="G141" s="11">
        <f>MAX(0,C141-E141)</f>
        <v/>
      </c>
    </row>
    <row r="142">
      <c r="A142" s="34" t="n">
        <v>16</v>
      </c>
      <c r="B142" s="13" t="n">
        <v>46446</v>
      </c>
      <c r="C142" s="11">
        <f>G141</f>
        <v/>
      </c>
      <c r="D142" s="11">
        <f>MAX(0,C142*$B$112/12)</f>
        <v/>
      </c>
      <c r="E142" s="11">
        <f>MAX(0,MIN(C142,$B$113-D142))</f>
        <v/>
      </c>
      <c r="F142" s="11">
        <f>D142+E142</f>
        <v/>
      </c>
      <c r="G142" s="11">
        <f>MAX(0,C142-E142)</f>
        <v/>
      </c>
    </row>
    <row r="143">
      <c r="A143" s="34" t="n">
        <v>17</v>
      </c>
      <c r="B143" s="13" t="n">
        <v>46476</v>
      </c>
      <c r="C143" s="11">
        <f>G142</f>
        <v/>
      </c>
      <c r="D143" s="11">
        <f>MAX(0,C143*$B$112/12)</f>
        <v/>
      </c>
      <c r="E143" s="11">
        <f>MAX(0,MIN(C143,$B$113-D143))</f>
        <v/>
      </c>
      <c r="F143" s="11">
        <f>D143+E143</f>
        <v/>
      </c>
      <c r="G143" s="11">
        <f>MAX(0,C143-E143)</f>
        <v/>
      </c>
    </row>
    <row r="144">
      <c r="A144" s="34" t="n">
        <v>18</v>
      </c>
      <c r="B144" s="13" t="n">
        <v>46507</v>
      </c>
      <c r="C144" s="11">
        <f>G143</f>
        <v/>
      </c>
      <c r="D144" s="11">
        <f>MAX(0,C144*$B$112/12)</f>
        <v/>
      </c>
      <c r="E144" s="11">
        <f>MAX(0,MIN(C144,$B$113-D144))</f>
        <v/>
      </c>
      <c r="F144" s="11">
        <f>D144+E144</f>
        <v/>
      </c>
      <c r="G144" s="11">
        <f>MAX(0,C144-E144)</f>
        <v/>
      </c>
    </row>
    <row r="145">
      <c r="A145" s="34" t="n">
        <v>19</v>
      </c>
      <c r="B145" s="13" t="n">
        <v>46537</v>
      </c>
      <c r="C145" s="11">
        <f>G144</f>
        <v/>
      </c>
      <c r="D145" s="11">
        <f>MAX(0,C145*$B$112/12)</f>
        <v/>
      </c>
      <c r="E145" s="11">
        <f>MAX(0,MIN(C145,$B$113-D145))</f>
        <v/>
      </c>
      <c r="F145" s="11">
        <f>D145+E145</f>
        <v/>
      </c>
      <c r="G145" s="11">
        <f>MAX(0,C145-E145)</f>
        <v/>
      </c>
    </row>
    <row r="146">
      <c r="A146" s="34" t="n">
        <v>20</v>
      </c>
      <c r="B146" s="13" t="n">
        <v>46568</v>
      </c>
      <c r="C146" s="11">
        <f>G145</f>
        <v/>
      </c>
      <c r="D146" s="11">
        <f>MAX(0,C146*$B$112/12)</f>
        <v/>
      </c>
      <c r="E146" s="11">
        <f>MAX(0,MIN(C146,$B$113-D146))</f>
        <v/>
      </c>
      <c r="F146" s="11">
        <f>D146+E146</f>
        <v/>
      </c>
      <c r="G146" s="11">
        <f>MAX(0,C146-E146)</f>
        <v/>
      </c>
    </row>
    <row r="147">
      <c r="A147" s="34" t="n">
        <v>21</v>
      </c>
      <c r="B147" s="13" t="n">
        <v>46598</v>
      </c>
      <c r="C147" s="11">
        <f>G146</f>
        <v/>
      </c>
      <c r="D147" s="11">
        <f>MAX(0,C147*$B$112/12)</f>
        <v/>
      </c>
      <c r="E147" s="11">
        <f>MAX(0,MIN(C147,$B$113-D147))</f>
        <v/>
      </c>
      <c r="F147" s="11">
        <f>D147+E147</f>
        <v/>
      </c>
      <c r="G147" s="11">
        <f>MAX(0,C147-E147)</f>
        <v/>
      </c>
    </row>
    <row r="148">
      <c r="A148" s="34" t="n">
        <v>22</v>
      </c>
      <c r="B148" s="13" t="n">
        <v>46629</v>
      </c>
      <c r="C148" s="11">
        <f>G147</f>
        <v/>
      </c>
      <c r="D148" s="11">
        <f>MAX(0,C148*$B$112/12)</f>
        <v/>
      </c>
      <c r="E148" s="11">
        <f>MAX(0,MIN(C148,$B$113-D148))</f>
        <v/>
      </c>
      <c r="F148" s="11">
        <f>D148+E148</f>
        <v/>
      </c>
      <c r="G148" s="11">
        <f>MAX(0,C148-E148)</f>
        <v/>
      </c>
    </row>
    <row r="149">
      <c r="A149" s="34" t="n">
        <v>23</v>
      </c>
      <c r="B149" s="13" t="n">
        <v>46660</v>
      </c>
      <c r="C149" s="11">
        <f>G148</f>
        <v/>
      </c>
      <c r="D149" s="11">
        <f>MAX(0,C149*$B$112/12)</f>
        <v/>
      </c>
      <c r="E149" s="11">
        <f>MAX(0,MIN(C149,$B$113-D149))</f>
        <v/>
      </c>
      <c r="F149" s="11">
        <f>D149+E149</f>
        <v/>
      </c>
      <c r="G149" s="11">
        <f>MAX(0,C149-E149)</f>
        <v/>
      </c>
    </row>
    <row r="150">
      <c r="A150" s="34" t="n">
        <v>24</v>
      </c>
      <c r="B150" s="13" t="n">
        <v>46690</v>
      </c>
      <c r="C150" s="11">
        <f>G149</f>
        <v/>
      </c>
      <c r="D150" s="11">
        <f>MAX(0,C150*$B$112/12)</f>
        <v/>
      </c>
      <c r="E150" s="11">
        <f>MAX(0,MIN(C150,$B$113-D150))</f>
        <v/>
      </c>
      <c r="F150" s="11">
        <f>D150+E150</f>
        <v/>
      </c>
      <c r="G150" s="11">
        <f>MAX(0,C150-E150)</f>
        <v/>
      </c>
    </row>
    <row r="151">
      <c r="A151" s="34" t="n">
        <v>25</v>
      </c>
      <c r="B151" s="13" t="n">
        <v>46721</v>
      </c>
      <c r="C151" s="11">
        <f>G150</f>
        <v/>
      </c>
      <c r="D151" s="11">
        <f>MAX(0,C151*$B$112/12)</f>
        <v/>
      </c>
      <c r="E151" s="11">
        <f>MAX(0,MIN(C151,$B$113-D151))</f>
        <v/>
      </c>
      <c r="F151" s="11">
        <f>D151+E151</f>
        <v/>
      </c>
      <c r="G151" s="11">
        <f>MAX(0,C151-E151)</f>
        <v/>
      </c>
    </row>
    <row r="152">
      <c r="A152" s="34" t="n">
        <v>26</v>
      </c>
      <c r="B152" s="13" t="n">
        <v>46751</v>
      </c>
      <c r="C152" s="11">
        <f>G151</f>
        <v/>
      </c>
      <c r="D152" s="11">
        <f>MAX(0,C152*$B$112/12)</f>
        <v/>
      </c>
      <c r="E152" s="11">
        <f>MAX(0,MIN(C152,$B$113-D152))</f>
        <v/>
      </c>
      <c r="F152" s="11">
        <f>D152+E152</f>
        <v/>
      </c>
      <c r="G152" s="11">
        <f>MAX(0,C152-E152)</f>
        <v/>
      </c>
    </row>
    <row r="153">
      <c r="A153" s="34" t="n">
        <v>27</v>
      </c>
      <c r="B153" s="13" t="n">
        <v>46782</v>
      </c>
      <c r="C153" s="11">
        <f>G152</f>
        <v/>
      </c>
      <c r="D153" s="11">
        <f>MAX(0,C153*$B$112/12)</f>
        <v/>
      </c>
      <c r="E153" s="11">
        <f>MAX(0,MIN(C153,$B$113-D153))</f>
        <v/>
      </c>
      <c r="F153" s="11">
        <f>D153+E153</f>
        <v/>
      </c>
      <c r="G153" s="11">
        <f>MAX(0,C153-E153)</f>
        <v/>
      </c>
    </row>
    <row r="154">
      <c r="A154" s="34" t="n">
        <v>28</v>
      </c>
      <c r="B154" s="13" t="n">
        <v>46812</v>
      </c>
      <c r="C154" s="11">
        <f>G153</f>
        <v/>
      </c>
      <c r="D154" s="11">
        <f>MAX(0,C154*$B$112/12)</f>
        <v/>
      </c>
      <c r="E154" s="11">
        <f>MAX(0,MIN(C154,$B$113-D154))</f>
        <v/>
      </c>
      <c r="F154" s="11">
        <f>D154+E154</f>
        <v/>
      </c>
      <c r="G154" s="11">
        <f>MAX(0,C154-E154)</f>
        <v/>
      </c>
    </row>
    <row r="155">
      <c r="A155" s="89" t="inlineStr">
        <is>
          <t>TOTAL</t>
        </is>
      </c>
      <c r="B155" s="91" t="n"/>
      <c r="C155" s="91" t="n"/>
      <c r="D155" s="92">
        <f>SUM(D127:D154)</f>
        <v/>
      </c>
      <c r="E155" s="92">
        <f>SUM(E127:E154)</f>
        <v/>
      </c>
      <c r="F155" s="92">
        <f>SUM(F127:F154)</f>
        <v/>
      </c>
      <c r="G155" s="91" t="n"/>
    </row>
  </sheetData>
  <mergeCells count="10">
    <mergeCell ref="A23:D23"/>
    <mergeCell ref="A58:G58"/>
    <mergeCell ref="A1:G1"/>
    <mergeCell ref="A119:D119"/>
    <mergeCell ref="A106:G106"/>
    <mergeCell ref="A77:G77"/>
    <mergeCell ref="A125:G125"/>
    <mergeCell ref="A29:G29"/>
    <mergeCell ref="A71:D71"/>
    <mergeCell ref="A10:G10"/>
  </mergeCells>
  <pageMargins left="0.75" right="0.75" top="1" bottom="1" header="0.5" footer="0.5"/>
  <legacyDrawing xmlns:r="http://schemas.openxmlformats.org/officeDocument/2006/relationships" r:id="anysvml"/>
</worksheet>
</file>

<file path=xl/worksheets/sheet15.xml><?xml version="1.0" encoding="utf-8"?>
<worksheet xmlns="http://schemas.openxmlformats.org/spreadsheetml/2006/main">
  <sheetPr>
    <tabColor rgb="00808080"/>
    <outlinePr summaryBelow="1" summaryRight="1"/>
    <pageSetUpPr/>
  </sheetPr>
  <dimension ref="A1:F444"/>
  <sheetViews>
    <sheetView workbookViewId="0">
      <selection activeCell="A1" sqref="A1"/>
    </sheetView>
  </sheetViews>
  <sheetFormatPr baseColWidth="8" defaultRowHeight="15"/>
  <cols>
    <col width="14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5" t="inlineStr">
        <is>
          <t>HUNTINGTON BANK - LOAN SUMMARY</t>
        </is>
      </c>
    </row>
    <row r="2">
      <c r="A2" s="20" t="inlineStr">
        <is>
          <t>Lender:</t>
        </is>
      </c>
      <c r="B2" t="inlineStr">
        <is>
          <t>Huntington Bank</t>
        </is>
      </c>
    </row>
    <row r="3">
      <c r="A3" s="20" t="inlineStr">
        <is>
          <t>Number of Loans:</t>
        </is>
      </c>
      <c r="B3" s="2" t="n">
        <v>5</v>
      </c>
    </row>
    <row r="4">
      <c r="A4" s="20" t="inlineStr">
        <is>
          <t>Total Balance:</t>
        </is>
      </c>
      <c r="B4" s="19">
        <f>B12+B96+B198+B282+B366</f>
        <v/>
      </c>
    </row>
    <row r="5">
      <c r="A5" s="20" t="inlineStr">
        <is>
          <t>Total Monthly:</t>
        </is>
      </c>
      <c r="B5" s="19">
        <f>B15+B99+B201+B285+B369</f>
        <v/>
      </c>
    </row>
    <row r="6">
      <c r="A6" s="20" t="inlineStr">
        <is>
          <t>As of Date:</t>
        </is>
      </c>
      <c r="B6" s="2" t="inlineStr">
        <is>
          <t>November 30, 2025</t>
        </is>
      </c>
    </row>
    <row r="7">
      <c r="A7" s="20" t="inlineStr">
        <is>
          <t>Source Doc:</t>
        </is>
      </c>
      <c r="B7" t="inlineStr">
        <is>
          <t>Meiborg_Debt_Schedule_202511.xlsx</t>
        </is>
      </c>
    </row>
    <row r="9">
      <c r="A9" s="15" t="inlineStr">
        <is>
          <t>LOAN 1: 5 Sleepers (March 2022)</t>
        </is>
      </c>
    </row>
    <row r="10">
      <c r="A10" s="20" t="inlineStr">
        <is>
          <t>Loan ID:</t>
        </is>
      </c>
      <c r="B10" s="2" t="inlineStr">
        <is>
          <t>05-2961-001-000-00</t>
        </is>
      </c>
    </row>
    <row r="11">
      <c r="A11" s="20" t="inlineStr">
        <is>
          <t>Account:</t>
        </is>
      </c>
      <c r="B11" s="2" t="inlineStr">
        <is>
          <t>101-0014230-003</t>
        </is>
      </c>
    </row>
    <row r="12">
      <c r="A12" s="20" t="inlineStr">
        <is>
          <t>Opening Balance:</t>
        </is>
      </c>
      <c r="B12" s="3" t="n">
        <v>770340</v>
      </c>
    </row>
    <row r="13">
      <c r="A13" s="20" t="inlineStr">
        <is>
          <t>Annual Rate:</t>
        </is>
      </c>
      <c r="B13" s="4" t="n">
        <v>0.0307</v>
      </c>
    </row>
    <row r="14">
      <c r="A14" s="20" t="inlineStr">
        <is>
          <t>Term Months:</t>
        </is>
      </c>
      <c r="B14" s="2" t="n">
        <v>66</v>
      </c>
    </row>
    <row r="15">
      <c r="A15" s="20" t="inlineStr">
        <is>
          <t>Monthly Payment:</t>
        </is>
      </c>
      <c r="B15" s="3" t="n">
        <v>12716.26</v>
      </c>
    </row>
    <row r="16">
      <c r="A16" s="20" t="inlineStr">
        <is>
          <t>Loan Type:</t>
        </is>
      </c>
      <c r="B16" t="inlineStr">
        <is>
          <t>AMORTIZING</t>
        </is>
      </c>
    </row>
    <row r="17">
      <c r="A17" s="20" t="inlineStr">
        <is>
          <t>Use:</t>
        </is>
      </c>
      <c r="B17" t="inlineStr">
        <is>
          <t>Equipment (Semi trucks - 5 Sleepers)</t>
        </is>
      </c>
    </row>
    <row r="18">
      <c r="A18" s="20" t="inlineStr">
        <is>
          <t>Maturity Date:</t>
        </is>
      </c>
      <c r="B18" s="2" t="inlineStr">
        <is>
          <t>2027-09-03</t>
        </is>
      </c>
    </row>
    <row r="19">
      <c r="A19" s="17" t="inlineStr">
        <is>
          <t>AI ANALYSIS</t>
        </is>
      </c>
      <c r="B19" s="6" t="n"/>
      <c r="C19" s="6" t="n"/>
      <c r="D19" s="6" t="n"/>
      <c r="E19" s="6" t="n"/>
      <c r="F19" s="6" t="n"/>
    </row>
    <row r="20">
      <c r="A20" s="6" t="inlineStr">
        <is>
          <t>Classification:</t>
        </is>
      </c>
      <c r="B20" s="6" t="inlineStr">
        <is>
          <t>Standard equipment term loan with fixed monthly P&amp;I payments</t>
        </is>
      </c>
    </row>
    <row r="21">
      <c r="A21" s="6" t="inlineStr">
        <is>
          <t>Amortization:</t>
        </is>
      </c>
      <c r="B21" s="6" t="inlineStr">
        <is>
          <t>Fully amortizing over 66 months, no balloon payment</t>
        </is>
      </c>
    </row>
    <row r="23">
      <c r="A23" s="23" t="inlineStr">
        <is>
          <t>Month #</t>
        </is>
      </c>
      <c r="B23" s="23" t="inlineStr">
        <is>
          <t>Date</t>
        </is>
      </c>
      <c r="C23" s="23" t="inlineStr">
        <is>
          <t>Opening Balance</t>
        </is>
      </c>
      <c r="D23" s="23" t="inlineStr">
        <is>
          <t>Interest</t>
        </is>
      </c>
      <c r="E23" s="23" t="inlineStr">
        <is>
          <t>Principal</t>
        </is>
      </c>
      <c r="F23" s="23" t="inlineStr">
        <is>
          <t>Closing Balance</t>
        </is>
      </c>
    </row>
    <row r="24">
      <c r="A24" s="43" t="n">
        <v>1</v>
      </c>
      <c r="B24" s="43" t="inlineStr">
        <is>
          <t>2022-03-03</t>
        </is>
      </c>
      <c r="C24" s="19">
        <f>B12</f>
        <v/>
      </c>
      <c r="D24" s="19">
        <f>MAX(0,C24*$B$13/12)</f>
        <v/>
      </c>
      <c r="E24" s="19">
        <f>MAX(0,MIN(C24,$B$15-D24))</f>
        <v/>
      </c>
      <c r="F24" s="19">
        <f>MAX(0,C24-E24)</f>
        <v/>
      </c>
    </row>
    <row r="25">
      <c r="A25" s="44" t="n">
        <v>2</v>
      </c>
      <c r="B25" s="44" t="inlineStr">
        <is>
          <t>2022-04-03</t>
        </is>
      </c>
      <c r="C25" s="45">
        <f>F24</f>
        <v/>
      </c>
      <c r="D25" s="45">
        <f>MAX(0,C25*$B$13/12)</f>
        <v/>
      </c>
      <c r="E25" s="45">
        <f>MAX(0,MIN(C25,$B$15-D25))</f>
        <v/>
      </c>
      <c r="F25" s="45">
        <f>MAX(0,C25-E25)</f>
        <v/>
      </c>
    </row>
    <row r="26">
      <c r="A26" s="43" t="n">
        <v>3</v>
      </c>
      <c r="B26" s="43" t="inlineStr">
        <is>
          <t>2022-05-03</t>
        </is>
      </c>
      <c r="C26" s="19">
        <f>F25</f>
        <v/>
      </c>
      <c r="D26" s="19">
        <f>MAX(0,C26*$B$13/12)</f>
        <v/>
      </c>
      <c r="E26" s="19">
        <f>MAX(0,MIN(C26,$B$15-D26))</f>
        <v/>
      </c>
      <c r="F26" s="19">
        <f>MAX(0,C26-E26)</f>
        <v/>
      </c>
    </row>
    <row r="27">
      <c r="A27" s="44" t="n">
        <v>4</v>
      </c>
      <c r="B27" s="44" t="inlineStr">
        <is>
          <t>2022-06-03</t>
        </is>
      </c>
      <c r="C27" s="45">
        <f>F26</f>
        <v/>
      </c>
      <c r="D27" s="45">
        <f>MAX(0,C27*$B$13/12)</f>
        <v/>
      </c>
      <c r="E27" s="45">
        <f>MAX(0,MIN(C27,$B$15-D27))</f>
        <v/>
      </c>
      <c r="F27" s="45">
        <f>MAX(0,C27-E27)</f>
        <v/>
      </c>
    </row>
    <row r="28">
      <c r="A28" s="43" t="n">
        <v>5</v>
      </c>
      <c r="B28" s="43" t="inlineStr">
        <is>
          <t>2022-07-03</t>
        </is>
      </c>
      <c r="C28" s="19">
        <f>F27</f>
        <v/>
      </c>
      <c r="D28" s="19">
        <f>MAX(0,C28*$B$13/12)</f>
        <v/>
      </c>
      <c r="E28" s="19">
        <f>MAX(0,MIN(C28,$B$15-D28))</f>
        <v/>
      </c>
      <c r="F28" s="19">
        <f>MAX(0,C28-E28)</f>
        <v/>
      </c>
    </row>
    <row r="29">
      <c r="A29" s="44" t="n">
        <v>6</v>
      </c>
      <c r="B29" s="44" t="inlineStr">
        <is>
          <t>2022-08-03</t>
        </is>
      </c>
      <c r="C29" s="45">
        <f>F28</f>
        <v/>
      </c>
      <c r="D29" s="45">
        <f>MAX(0,C29*$B$13/12)</f>
        <v/>
      </c>
      <c r="E29" s="45">
        <f>MAX(0,MIN(C29,$B$15-D29))</f>
        <v/>
      </c>
      <c r="F29" s="45">
        <f>MAX(0,C29-E29)</f>
        <v/>
      </c>
    </row>
    <row r="30">
      <c r="A30" s="43" t="n">
        <v>7</v>
      </c>
      <c r="B30" s="43" t="inlineStr">
        <is>
          <t>2022-09-03</t>
        </is>
      </c>
      <c r="C30" s="19">
        <f>F29</f>
        <v/>
      </c>
      <c r="D30" s="19">
        <f>MAX(0,C30*$B$13/12)</f>
        <v/>
      </c>
      <c r="E30" s="19">
        <f>MAX(0,MIN(C30,$B$15-D30))</f>
        <v/>
      </c>
      <c r="F30" s="19">
        <f>MAX(0,C30-E30)</f>
        <v/>
      </c>
    </row>
    <row r="31">
      <c r="A31" s="44" t="n">
        <v>8</v>
      </c>
      <c r="B31" s="44" t="inlineStr">
        <is>
          <t>2022-10-03</t>
        </is>
      </c>
      <c r="C31" s="45">
        <f>F30</f>
        <v/>
      </c>
      <c r="D31" s="45">
        <f>MAX(0,C31*$B$13/12)</f>
        <v/>
      </c>
      <c r="E31" s="45">
        <f>MAX(0,MIN(C31,$B$15-D31))</f>
        <v/>
      </c>
      <c r="F31" s="45">
        <f>MAX(0,C31-E31)</f>
        <v/>
      </c>
    </row>
    <row r="32">
      <c r="A32" s="43" t="n">
        <v>9</v>
      </c>
      <c r="B32" s="43" t="inlineStr">
        <is>
          <t>2022-11-03</t>
        </is>
      </c>
      <c r="C32" s="19">
        <f>F31</f>
        <v/>
      </c>
      <c r="D32" s="19">
        <f>MAX(0,C32*$B$13/12)</f>
        <v/>
      </c>
      <c r="E32" s="19">
        <f>MAX(0,MIN(C32,$B$15-D32))</f>
        <v/>
      </c>
      <c r="F32" s="19">
        <f>MAX(0,C32-E32)</f>
        <v/>
      </c>
    </row>
    <row r="33">
      <c r="A33" s="44" t="n">
        <v>10</v>
      </c>
      <c r="B33" s="44" t="inlineStr">
        <is>
          <t>2022-12-03</t>
        </is>
      </c>
      <c r="C33" s="45">
        <f>F32</f>
        <v/>
      </c>
      <c r="D33" s="45">
        <f>MAX(0,C33*$B$13/12)</f>
        <v/>
      </c>
      <c r="E33" s="45">
        <f>MAX(0,MIN(C33,$B$15-D33))</f>
        <v/>
      </c>
      <c r="F33" s="45">
        <f>MAX(0,C33-E33)</f>
        <v/>
      </c>
    </row>
    <row r="34">
      <c r="A34" s="43" t="n">
        <v>11</v>
      </c>
      <c r="B34" s="43" t="inlineStr">
        <is>
          <t>2023-01-03</t>
        </is>
      </c>
      <c r="C34" s="19">
        <f>F33</f>
        <v/>
      </c>
      <c r="D34" s="19">
        <f>MAX(0,C34*$B$13/12)</f>
        <v/>
      </c>
      <c r="E34" s="19">
        <f>MAX(0,MIN(C34,$B$15-D34))</f>
        <v/>
      </c>
      <c r="F34" s="19">
        <f>MAX(0,C34-E34)</f>
        <v/>
      </c>
    </row>
    <row r="35">
      <c r="A35" s="44" t="n">
        <v>12</v>
      </c>
      <c r="B35" s="44" t="inlineStr">
        <is>
          <t>2023-02-03</t>
        </is>
      </c>
      <c r="C35" s="45">
        <f>F34</f>
        <v/>
      </c>
      <c r="D35" s="45">
        <f>MAX(0,C35*$B$13/12)</f>
        <v/>
      </c>
      <c r="E35" s="45">
        <f>MAX(0,MIN(C35,$B$15-D35))</f>
        <v/>
      </c>
      <c r="F35" s="45">
        <f>MAX(0,C35-E35)</f>
        <v/>
      </c>
    </row>
    <row r="36">
      <c r="A36" s="43" t="n">
        <v>13</v>
      </c>
      <c r="B36" s="43" t="inlineStr">
        <is>
          <t>2023-03-03</t>
        </is>
      </c>
      <c r="C36" s="19">
        <f>F35</f>
        <v/>
      </c>
      <c r="D36" s="19">
        <f>MAX(0,C36*$B$13/12)</f>
        <v/>
      </c>
      <c r="E36" s="19">
        <f>MAX(0,MIN(C36,$B$15-D36))</f>
        <v/>
      </c>
      <c r="F36" s="19">
        <f>MAX(0,C36-E36)</f>
        <v/>
      </c>
    </row>
    <row r="37">
      <c r="A37" s="44" t="n">
        <v>14</v>
      </c>
      <c r="B37" s="44" t="inlineStr">
        <is>
          <t>2023-04-03</t>
        </is>
      </c>
      <c r="C37" s="45">
        <f>F36</f>
        <v/>
      </c>
      <c r="D37" s="45">
        <f>MAX(0,C37*$B$13/12)</f>
        <v/>
      </c>
      <c r="E37" s="45">
        <f>MAX(0,MIN(C37,$B$15-D37))</f>
        <v/>
      </c>
      <c r="F37" s="45">
        <f>MAX(0,C37-E37)</f>
        <v/>
      </c>
    </row>
    <row r="38">
      <c r="A38" s="43" t="n">
        <v>15</v>
      </c>
      <c r="B38" s="43" t="inlineStr">
        <is>
          <t>2023-05-03</t>
        </is>
      </c>
      <c r="C38" s="19">
        <f>F37</f>
        <v/>
      </c>
      <c r="D38" s="19">
        <f>MAX(0,C38*$B$13/12)</f>
        <v/>
      </c>
      <c r="E38" s="19">
        <f>MAX(0,MIN(C38,$B$15-D38))</f>
        <v/>
      </c>
      <c r="F38" s="19">
        <f>MAX(0,C38-E38)</f>
        <v/>
      </c>
    </row>
    <row r="39">
      <c r="A39" s="44" t="n">
        <v>16</v>
      </c>
      <c r="B39" s="44" t="inlineStr">
        <is>
          <t>2023-06-03</t>
        </is>
      </c>
      <c r="C39" s="45">
        <f>F38</f>
        <v/>
      </c>
      <c r="D39" s="45">
        <f>MAX(0,C39*$B$13/12)</f>
        <v/>
      </c>
      <c r="E39" s="45">
        <f>MAX(0,MIN(C39,$B$15-D39))</f>
        <v/>
      </c>
      <c r="F39" s="45">
        <f>MAX(0,C39-E39)</f>
        <v/>
      </c>
    </row>
    <row r="40">
      <c r="A40" s="43" t="n">
        <v>17</v>
      </c>
      <c r="B40" s="43" t="inlineStr">
        <is>
          <t>2023-07-03</t>
        </is>
      </c>
      <c r="C40" s="19">
        <f>F39</f>
        <v/>
      </c>
      <c r="D40" s="19">
        <f>MAX(0,C40*$B$13/12)</f>
        <v/>
      </c>
      <c r="E40" s="19">
        <f>MAX(0,MIN(C40,$B$15-D40))</f>
        <v/>
      </c>
      <c r="F40" s="19">
        <f>MAX(0,C40-E40)</f>
        <v/>
      </c>
    </row>
    <row r="41">
      <c r="A41" s="44" t="n">
        <v>18</v>
      </c>
      <c r="B41" s="44" t="inlineStr">
        <is>
          <t>2023-08-03</t>
        </is>
      </c>
      <c r="C41" s="45">
        <f>F40</f>
        <v/>
      </c>
      <c r="D41" s="45">
        <f>MAX(0,C41*$B$13/12)</f>
        <v/>
      </c>
      <c r="E41" s="45">
        <f>MAX(0,MIN(C41,$B$15-D41))</f>
        <v/>
      </c>
      <c r="F41" s="45">
        <f>MAX(0,C41-E41)</f>
        <v/>
      </c>
    </row>
    <row r="42">
      <c r="A42" s="43" t="n">
        <v>19</v>
      </c>
      <c r="B42" s="43" t="inlineStr">
        <is>
          <t>2023-09-03</t>
        </is>
      </c>
      <c r="C42" s="19">
        <f>F41</f>
        <v/>
      </c>
      <c r="D42" s="19">
        <f>MAX(0,C42*$B$13/12)</f>
        <v/>
      </c>
      <c r="E42" s="19">
        <f>MAX(0,MIN(C42,$B$15-D42))</f>
        <v/>
      </c>
      <c r="F42" s="19">
        <f>MAX(0,C42-E42)</f>
        <v/>
      </c>
    </row>
    <row r="43">
      <c r="A43" s="44" t="n">
        <v>20</v>
      </c>
      <c r="B43" s="44" t="inlineStr">
        <is>
          <t>2023-10-03</t>
        </is>
      </c>
      <c r="C43" s="45">
        <f>F42</f>
        <v/>
      </c>
      <c r="D43" s="45">
        <f>MAX(0,C43*$B$13/12)</f>
        <v/>
      </c>
      <c r="E43" s="45">
        <f>MAX(0,MIN(C43,$B$15-D43))</f>
        <v/>
      </c>
      <c r="F43" s="45">
        <f>MAX(0,C43-E43)</f>
        <v/>
      </c>
    </row>
    <row r="44">
      <c r="A44" s="43" t="n">
        <v>21</v>
      </c>
      <c r="B44" s="43" t="inlineStr">
        <is>
          <t>2023-11-03</t>
        </is>
      </c>
      <c r="C44" s="19">
        <f>F43</f>
        <v/>
      </c>
      <c r="D44" s="19">
        <f>MAX(0,C44*$B$13/12)</f>
        <v/>
      </c>
      <c r="E44" s="19">
        <f>MAX(0,MIN(C44,$B$15-D44))</f>
        <v/>
      </c>
      <c r="F44" s="19">
        <f>MAX(0,C44-E44)</f>
        <v/>
      </c>
    </row>
    <row r="45">
      <c r="A45" s="44" t="n">
        <v>22</v>
      </c>
      <c r="B45" s="44" t="inlineStr">
        <is>
          <t>2023-12-03</t>
        </is>
      </c>
      <c r="C45" s="45">
        <f>F44</f>
        <v/>
      </c>
      <c r="D45" s="45">
        <f>MAX(0,C45*$B$13/12)</f>
        <v/>
      </c>
      <c r="E45" s="45">
        <f>MAX(0,MIN(C45,$B$15-D45))</f>
        <v/>
      </c>
      <c r="F45" s="45">
        <f>MAX(0,C45-E45)</f>
        <v/>
      </c>
    </row>
    <row r="46">
      <c r="A46" s="43" t="n">
        <v>23</v>
      </c>
      <c r="B46" s="43" t="inlineStr">
        <is>
          <t>2024-01-03</t>
        </is>
      </c>
      <c r="C46" s="19">
        <f>F45</f>
        <v/>
      </c>
      <c r="D46" s="19">
        <f>MAX(0,C46*$B$13/12)</f>
        <v/>
      </c>
      <c r="E46" s="19">
        <f>MAX(0,MIN(C46,$B$15-D46))</f>
        <v/>
      </c>
      <c r="F46" s="19">
        <f>MAX(0,C46-E46)</f>
        <v/>
      </c>
    </row>
    <row r="47">
      <c r="A47" s="44" t="n">
        <v>24</v>
      </c>
      <c r="B47" s="44" t="inlineStr">
        <is>
          <t>2024-02-03</t>
        </is>
      </c>
      <c r="C47" s="45">
        <f>F46</f>
        <v/>
      </c>
      <c r="D47" s="45">
        <f>MAX(0,C47*$B$13/12)</f>
        <v/>
      </c>
      <c r="E47" s="45">
        <f>MAX(0,MIN(C47,$B$15-D47))</f>
        <v/>
      </c>
      <c r="F47" s="45">
        <f>MAX(0,C47-E47)</f>
        <v/>
      </c>
    </row>
    <row r="48">
      <c r="A48" s="43" t="n">
        <v>25</v>
      </c>
      <c r="B48" s="43" t="inlineStr">
        <is>
          <t>2024-03-03</t>
        </is>
      </c>
      <c r="C48" s="19">
        <f>F47</f>
        <v/>
      </c>
      <c r="D48" s="19">
        <f>MAX(0,C48*$B$13/12)</f>
        <v/>
      </c>
      <c r="E48" s="19">
        <f>MAX(0,MIN(C48,$B$15-D48))</f>
        <v/>
      </c>
      <c r="F48" s="19">
        <f>MAX(0,C48-E48)</f>
        <v/>
      </c>
    </row>
    <row r="49">
      <c r="A49" s="44" t="n">
        <v>26</v>
      </c>
      <c r="B49" s="44" t="inlineStr">
        <is>
          <t>2024-04-03</t>
        </is>
      </c>
      <c r="C49" s="45">
        <f>F48</f>
        <v/>
      </c>
      <c r="D49" s="45">
        <f>MAX(0,C49*$B$13/12)</f>
        <v/>
      </c>
      <c r="E49" s="45">
        <f>MAX(0,MIN(C49,$B$15-D49))</f>
        <v/>
      </c>
      <c r="F49" s="45">
        <f>MAX(0,C49-E49)</f>
        <v/>
      </c>
    </row>
    <row r="50">
      <c r="A50" s="43" t="n">
        <v>27</v>
      </c>
      <c r="B50" s="43" t="inlineStr">
        <is>
          <t>2024-05-03</t>
        </is>
      </c>
      <c r="C50" s="19">
        <f>F49</f>
        <v/>
      </c>
      <c r="D50" s="19">
        <f>MAX(0,C50*$B$13/12)</f>
        <v/>
      </c>
      <c r="E50" s="19">
        <f>MAX(0,MIN(C50,$B$15-D50))</f>
        <v/>
      </c>
      <c r="F50" s="19">
        <f>MAX(0,C50-E50)</f>
        <v/>
      </c>
    </row>
    <row r="51">
      <c r="A51" s="44" t="n">
        <v>28</v>
      </c>
      <c r="B51" s="44" t="inlineStr">
        <is>
          <t>2024-06-03</t>
        </is>
      </c>
      <c r="C51" s="45">
        <f>F50</f>
        <v/>
      </c>
      <c r="D51" s="45">
        <f>MAX(0,C51*$B$13/12)</f>
        <v/>
      </c>
      <c r="E51" s="45">
        <f>MAX(0,MIN(C51,$B$15-D51))</f>
        <v/>
      </c>
      <c r="F51" s="45">
        <f>MAX(0,C51-E51)</f>
        <v/>
      </c>
    </row>
    <row r="52">
      <c r="A52" s="43" t="n">
        <v>29</v>
      </c>
      <c r="B52" s="43" t="inlineStr">
        <is>
          <t>2024-07-03</t>
        </is>
      </c>
      <c r="C52" s="19">
        <f>F51</f>
        <v/>
      </c>
      <c r="D52" s="19">
        <f>MAX(0,C52*$B$13/12)</f>
        <v/>
      </c>
      <c r="E52" s="19">
        <f>MAX(0,MIN(C52,$B$15-D52))</f>
        <v/>
      </c>
      <c r="F52" s="19">
        <f>MAX(0,C52-E52)</f>
        <v/>
      </c>
    </row>
    <row r="53">
      <c r="A53" s="44" t="n">
        <v>30</v>
      </c>
      <c r="B53" s="44" t="inlineStr">
        <is>
          <t>2024-08-03</t>
        </is>
      </c>
      <c r="C53" s="45">
        <f>F52</f>
        <v/>
      </c>
      <c r="D53" s="45">
        <f>MAX(0,C53*$B$13/12)</f>
        <v/>
      </c>
      <c r="E53" s="45">
        <f>MAX(0,MIN(C53,$B$15-D53))</f>
        <v/>
      </c>
      <c r="F53" s="45">
        <f>MAX(0,C53-E53)</f>
        <v/>
      </c>
    </row>
    <row r="54">
      <c r="A54" s="43" t="n">
        <v>31</v>
      </c>
      <c r="B54" s="43" t="inlineStr">
        <is>
          <t>2024-09-03</t>
        </is>
      </c>
      <c r="C54" s="19">
        <f>F53</f>
        <v/>
      </c>
      <c r="D54" s="19">
        <f>MAX(0,C54*$B$13/12)</f>
        <v/>
      </c>
      <c r="E54" s="19">
        <f>MAX(0,MIN(C54,$B$15-D54))</f>
        <v/>
      </c>
      <c r="F54" s="19">
        <f>MAX(0,C54-E54)</f>
        <v/>
      </c>
    </row>
    <row r="55">
      <c r="A55" s="44" t="n">
        <v>32</v>
      </c>
      <c r="B55" s="44" t="inlineStr">
        <is>
          <t>2024-10-03</t>
        </is>
      </c>
      <c r="C55" s="45">
        <f>F54</f>
        <v/>
      </c>
      <c r="D55" s="45">
        <f>MAX(0,C55*$B$13/12)</f>
        <v/>
      </c>
      <c r="E55" s="45">
        <f>MAX(0,MIN(C55,$B$15-D55))</f>
        <v/>
      </c>
      <c r="F55" s="45">
        <f>MAX(0,C55-E55)</f>
        <v/>
      </c>
    </row>
    <row r="56">
      <c r="A56" s="43" t="n">
        <v>33</v>
      </c>
      <c r="B56" s="43" t="inlineStr">
        <is>
          <t>2024-11-03</t>
        </is>
      </c>
      <c r="C56" s="19">
        <f>F55</f>
        <v/>
      </c>
      <c r="D56" s="19">
        <f>MAX(0,C56*$B$13/12)</f>
        <v/>
      </c>
      <c r="E56" s="19">
        <f>MAX(0,MIN(C56,$B$15-D56))</f>
        <v/>
      </c>
      <c r="F56" s="19">
        <f>MAX(0,C56-E56)</f>
        <v/>
      </c>
    </row>
    <row r="57">
      <c r="A57" s="44" t="n">
        <v>34</v>
      </c>
      <c r="B57" s="44" t="inlineStr">
        <is>
          <t>2024-12-03</t>
        </is>
      </c>
      <c r="C57" s="45">
        <f>F56</f>
        <v/>
      </c>
      <c r="D57" s="45">
        <f>MAX(0,C57*$B$13/12)</f>
        <v/>
      </c>
      <c r="E57" s="45">
        <f>MAX(0,MIN(C57,$B$15-D57))</f>
        <v/>
      </c>
      <c r="F57" s="45">
        <f>MAX(0,C57-E57)</f>
        <v/>
      </c>
    </row>
    <row r="58">
      <c r="A58" s="43" t="n">
        <v>35</v>
      </c>
      <c r="B58" s="43" t="inlineStr">
        <is>
          <t>2025-01-03</t>
        </is>
      </c>
      <c r="C58" s="19">
        <f>F57</f>
        <v/>
      </c>
      <c r="D58" s="19">
        <f>MAX(0,C58*$B$13/12)</f>
        <v/>
      </c>
      <c r="E58" s="19">
        <f>MAX(0,MIN(C58,$B$15-D58))</f>
        <v/>
      </c>
      <c r="F58" s="19">
        <f>MAX(0,C58-E58)</f>
        <v/>
      </c>
    </row>
    <row r="59">
      <c r="A59" s="44" t="n">
        <v>36</v>
      </c>
      <c r="B59" s="44" t="inlineStr">
        <is>
          <t>2025-02-03</t>
        </is>
      </c>
      <c r="C59" s="45">
        <f>F58</f>
        <v/>
      </c>
      <c r="D59" s="45">
        <f>MAX(0,C59*$B$13/12)</f>
        <v/>
      </c>
      <c r="E59" s="45">
        <f>MAX(0,MIN(C59,$B$15-D59))</f>
        <v/>
      </c>
      <c r="F59" s="45">
        <f>MAX(0,C59-E59)</f>
        <v/>
      </c>
    </row>
    <row r="60">
      <c r="A60" s="43" t="n">
        <v>37</v>
      </c>
      <c r="B60" s="43" t="inlineStr">
        <is>
          <t>2025-03-03</t>
        </is>
      </c>
      <c r="C60" s="19">
        <f>F59</f>
        <v/>
      </c>
      <c r="D60" s="19">
        <f>MAX(0,C60*$B$13/12)</f>
        <v/>
      </c>
      <c r="E60" s="19">
        <f>MAX(0,MIN(C60,$B$15-D60))</f>
        <v/>
      </c>
      <c r="F60" s="19">
        <f>MAX(0,C60-E60)</f>
        <v/>
      </c>
    </row>
    <row r="61">
      <c r="A61" s="44" t="n">
        <v>38</v>
      </c>
      <c r="B61" s="44" t="inlineStr">
        <is>
          <t>2025-04-03</t>
        </is>
      </c>
      <c r="C61" s="45">
        <f>F60</f>
        <v/>
      </c>
      <c r="D61" s="45">
        <f>MAX(0,C61*$B$13/12)</f>
        <v/>
      </c>
      <c r="E61" s="45">
        <f>MAX(0,MIN(C61,$B$15-D61))</f>
        <v/>
      </c>
      <c r="F61" s="45">
        <f>MAX(0,C61-E61)</f>
        <v/>
      </c>
    </row>
    <row r="62">
      <c r="A62" s="43" t="n">
        <v>39</v>
      </c>
      <c r="B62" s="43" t="inlineStr">
        <is>
          <t>2025-05-03</t>
        </is>
      </c>
      <c r="C62" s="19">
        <f>F61</f>
        <v/>
      </c>
      <c r="D62" s="19">
        <f>MAX(0,C62*$B$13/12)</f>
        <v/>
      </c>
      <c r="E62" s="19">
        <f>MAX(0,MIN(C62,$B$15-D62))</f>
        <v/>
      </c>
      <c r="F62" s="19">
        <f>MAX(0,C62-E62)</f>
        <v/>
      </c>
    </row>
    <row r="63">
      <c r="A63" s="44" t="n">
        <v>40</v>
      </c>
      <c r="B63" s="44" t="inlineStr">
        <is>
          <t>2025-06-03</t>
        </is>
      </c>
      <c r="C63" s="45">
        <f>F62</f>
        <v/>
      </c>
      <c r="D63" s="45">
        <f>MAX(0,C63*$B$13/12)</f>
        <v/>
      </c>
      <c r="E63" s="45">
        <f>MAX(0,MIN(C63,$B$15-D63))</f>
        <v/>
      </c>
      <c r="F63" s="45">
        <f>MAX(0,C63-E63)</f>
        <v/>
      </c>
    </row>
    <row r="64">
      <c r="A64" s="43" t="n">
        <v>41</v>
      </c>
      <c r="B64" s="43" t="inlineStr">
        <is>
          <t>2025-07-03</t>
        </is>
      </c>
      <c r="C64" s="19">
        <f>F63</f>
        <v/>
      </c>
      <c r="D64" s="19">
        <f>MAX(0,C64*$B$13/12)</f>
        <v/>
      </c>
      <c r="E64" s="19">
        <f>MAX(0,MIN(C64,$B$15-D64))</f>
        <v/>
      </c>
      <c r="F64" s="19">
        <f>MAX(0,C64-E64)</f>
        <v/>
      </c>
    </row>
    <row r="65">
      <c r="A65" s="44" t="n">
        <v>42</v>
      </c>
      <c r="B65" s="44" t="inlineStr">
        <is>
          <t>2025-08-03</t>
        </is>
      </c>
      <c r="C65" s="45">
        <f>F64</f>
        <v/>
      </c>
      <c r="D65" s="45">
        <f>MAX(0,C65*$B$13/12)</f>
        <v/>
      </c>
      <c r="E65" s="45">
        <f>MAX(0,MIN(C65,$B$15-D65))</f>
        <v/>
      </c>
      <c r="F65" s="45">
        <f>MAX(0,C65-E65)</f>
        <v/>
      </c>
    </row>
    <row r="66">
      <c r="A66" s="43" t="n">
        <v>43</v>
      </c>
      <c r="B66" s="43" t="inlineStr">
        <is>
          <t>2025-09-03</t>
        </is>
      </c>
      <c r="C66" s="19">
        <f>F65</f>
        <v/>
      </c>
      <c r="D66" s="19">
        <f>MAX(0,C66*$B$13/12)</f>
        <v/>
      </c>
      <c r="E66" s="19">
        <f>MAX(0,MIN(C66,$B$15-D66))</f>
        <v/>
      </c>
      <c r="F66" s="19">
        <f>MAX(0,C66-E66)</f>
        <v/>
      </c>
    </row>
    <row r="67">
      <c r="A67" s="44" t="n">
        <v>44</v>
      </c>
      <c r="B67" s="44" t="inlineStr">
        <is>
          <t>2025-10-03</t>
        </is>
      </c>
      <c r="C67" s="45">
        <f>F66</f>
        <v/>
      </c>
      <c r="D67" s="45">
        <f>MAX(0,C67*$B$13/12)</f>
        <v/>
      </c>
      <c r="E67" s="45">
        <f>MAX(0,MIN(C67,$B$15-D67))</f>
        <v/>
      </c>
      <c r="F67" s="45">
        <f>MAX(0,C67-E67)</f>
        <v/>
      </c>
    </row>
    <row r="68">
      <c r="A68" s="43" t="n">
        <v>45</v>
      </c>
      <c r="B68" s="43" t="inlineStr">
        <is>
          <t>2025-11-03</t>
        </is>
      </c>
      <c r="C68" s="19">
        <f>F67</f>
        <v/>
      </c>
      <c r="D68" s="19">
        <f>MAX(0,C68*$B$13/12)</f>
        <v/>
      </c>
      <c r="E68" s="19">
        <f>MAX(0,MIN(C68,$B$15-D68))</f>
        <v/>
      </c>
      <c r="F68" s="19">
        <f>MAX(0,C68-E68)</f>
        <v/>
      </c>
    </row>
    <row r="69">
      <c r="A69" s="44" t="n">
        <v>46</v>
      </c>
      <c r="B69" s="44" t="inlineStr">
        <is>
          <t>2025-12-03</t>
        </is>
      </c>
      <c r="C69" s="45">
        <f>F68</f>
        <v/>
      </c>
      <c r="D69" s="45">
        <f>MAX(0,C69*$B$13/12)</f>
        <v/>
      </c>
      <c r="E69" s="45">
        <f>MAX(0,MIN(C69,$B$15-D69))</f>
        <v/>
      </c>
      <c r="F69" s="45">
        <f>MAX(0,C69-E69)</f>
        <v/>
      </c>
    </row>
    <row r="70">
      <c r="A70" s="43" t="n">
        <v>47</v>
      </c>
      <c r="B70" s="43" t="inlineStr">
        <is>
          <t>2026-01-03</t>
        </is>
      </c>
      <c r="C70" s="19">
        <f>F69</f>
        <v/>
      </c>
      <c r="D70" s="19">
        <f>MAX(0,C70*$B$13/12)</f>
        <v/>
      </c>
      <c r="E70" s="19">
        <f>MAX(0,MIN(C70,$B$15-D70))</f>
        <v/>
      </c>
      <c r="F70" s="19">
        <f>MAX(0,C70-E70)</f>
        <v/>
      </c>
    </row>
    <row r="71">
      <c r="A71" s="44" t="n">
        <v>48</v>
      </c>
      <c r="B71" s="44" t="inlineStr">
        <is>
          <t>2026-02-03</t>
        </is>
      </c>
      <c r="C71" s="45">
        <f>F70</f>
        <v/>
      </c>
      <c r="D71" s="45">
        <f>MAX(0,C71*$B$13/12)</f>
        <v/>
      </c>
      <c r="E71" s="45">
        <f>MAX(0,MIN(C71,$B$15-D71))</f>
        <v/>
      </c>
      <c r="F71" s="45">
        <f>MAX(0,C71-E71)</f>
        <v/>
      </c>
    </row>
    <row r="72">
      <c r="A72" s="43" t="n">
        <v>49</v>
      </c>
      <c r="B72" s="43" t="inlineStr">
        <is>
          <t>2026-03-03</t>
        </is>
      </c>
      <c r="C72" s="19">
        <f>F71</f>
        <v/>
      </c>
      <c r="D72" s="19">
        <f>MAX(0,C72*$B$13/12)</f>
        <v/>
      </c>
      <c r="E72" s="19">
        <f>MAX(0,MIN(C72,$B$15-D72))</f>
        <v/>
      </c>
      <c r="F72" s="19">
        <f>MAX(0,C72-E72)</f>
        <v/>
      </c>
    </row>
    <row r="73">
      <c r="A73" s="44" t="n">
        <v>50</v>
      </c>
      <c r="B73" s="44" t="inlineStr">
        <is>
          <t>2026-04-03</t>
        </is>
      </c>
      <c r="C73" s="45">
        <f>F72</f>
        <v/>
      </c>
      <c r="D73" s="45">
        <f>MAX(0,C73*$B$13/12)</f>
        <v/>
      </c>
      <c r="E73" s="45">
        <f>MAX(0,MIN(C73,$B$15-D73))</f>
        <v/>
      </c>
      <c r="F73" s="45">
        <f>MAX(0,C73-E73)</f>
        <v/>
      </c>
    </row>
    <row r="74">
      <c r="A74" s="43" t="n">
        <v>51</v>
      </c>
      <c r="B74" s="43" t="inlineStr">
        <is>
          <t>2026-05-03</t>
        </is>
      </c>
      <c r="C74" s="19">
        <f>F73</f>
        <v/>
      </c>
      <c r="D74" s="19">
        <f>MAX(0,C74*$B$13/12)</f>
        <v/>
      </c>
      <c r="E74" s="19">
        <f>MAX(0,MIN(C74,$B$15-D74))</f>
        <v/>
      </c>
      <c r="F74" s="19">
        <f>MAX(0,C74-E74)</f>
        <v/>
      </c>
    </row>
    <row r="75">
      <c r="A75" s="44" t="n">
        <v>52</v>
      </c>
      <c r="B75" s="44" t="inlineStr">
        <is>
          <t>2026-06-03</t>
        </is>
      </c>
      <c r="C75" s="45">
        <f>F74</f>
        <v/>
      </c>
      <c r="D75" s="45">
        <f>MAX(0,C75*$B$13/12)</f>
        <v/>
      </c>
      <c r="E75" s="45">
        <f>MAX(0,MIN(C75,$B$15-D75))</f>
        <v/>
      </c>
      <c r="F75" s="45">
        <f>MAX(0,C75-E75)</f>
        <v/>
      </c>
    </row>
    <row r="76">
      <c r="A76" s="43" t="n">
        <v>53</v>
      </c>
      <c r="B76" s="43" t="inlineStr">
        <is>
          <t>2026-07-03</t>
        </is>
      </c>
      <c r="C76" s="19">
        <f>F75</f>
        <v/>
      </c>
      <c r="D76" s="19">
        <f>MAX(0,C76*$B$13/12)</f>
        <v/>
      </c>
      <c r="E76" s="19">
        <f>MAX(0,MIN(C76,$B$15-D76))</f>
        <v/>
      </c>
      <c r="F76" s="19">
        <f>MAX(0,C76-E76)</f>
        <v/>
      </c>
    </row>
    <row r="77">
      <c r="A77" s="44" t="n">
        <v>54</v>
      </c>
      <c r="B77" s="44" t="inlineStr">
        <is>
          <t>2026-08-03</t>
        </is>
      </c>
      <c r="C77" s="45">
        <f>F76</f>
        <v/>
      </c>
      <c r="D77" s="45">
        <f>MAX(0,C77*$B$13/12)</f>
        <v/>
      </c>
      <c r="E77" s="45">
        <f>MAX(0,MIN(C77,$B$15-D77))</f>
        <v/>
      </c>
      <c r="F77" s="45">
        <f>MAX(0,C77-E77)</f>
        <v/>
      </c>
    </row>
    <row r="78">
      <c r="A78" s="43" t="n">
        <v>55</v>
      </c>
      <c r="B78" s="43" t="inlineStr">
        <is>
          <t>2026-09-03</t>
        </is>
      </c>
      <c r="C78" s="19">
        <f>F77</f>
        <v/>
      </c>
      <c r="D78" s="19">
        <f>MAX(0,C78*$B$13/12)</f>
        <v/>
      </c>
      <c r="E78" s="19">
        <f>MAX(0,MIN(C78,$B$15-D78))</f>
        <v/>
      </c>
      <c r="F78" s="19">
        <f>MAX(0,C78-E78)</f>
        <v/>
      </c>
    </row>
    <row r="79">
      <c r="A79" s="44" t="n">
        <v>56</v>
      </c>
      <c r="B79" s="44" t="inlineStr">
        <is>
          <t>2026-10-03</t>
        </is>
      </c>
      <c r="C79" s="45">
        <f>F78</f>
        <v/>
      </c>
      <c r="D79" s="45">
        <f>MAX(0,C79*$B$13/12)</f>
        <v/>
      </c>
      <c r="E79" s="45">
        <f>MAX(0,MIN(C79,$B$15-D79))</f>
        <v/>
      </c>
      <c r="F79" s="45">
        <f>MAX(0,C79-E79)</f>
        <v/>
      </c>
    </row>
    <row r="80">
      <c r="A80" s="43" t="n">
        <v>57</v>
      </c>
      <c r="B80" s="43" t="inlineStr">
        <is>
          <t>2026-11-03</t>
        </is>
      </c>
      <c r="C80" s="19">
        <f>F79</f>
        <v/>
      </c>
      <c r="D80" s="19">
        <f>MAX(0,C80*$B$13/12)</f>
        <v/>
      </c>
      <c r="E80" s="19">
        <f>MAX(0,MIN(C80,$B$15-D80))</f>
        <v/>
      </c>
      <c r="F80" s="19">
        <f>MAX(0,C80-E80)</f>
        <v/>
      </c>
    </row>
    <row r="81">
      <c r="A81" s="44" t="n">
        <v>58</v>
      </c>
      <c r="B81" s="44" t="inlineStr">
        <is>
          <t>2026-12-03</t>
        </is>
      </c>
      <c r="C81" s="45">
        <f>F80</f>
        <v/>
      </c>
      <c r="D81" s="45">
        <f>MAX(0,C81*$B$13/12)</f>
        <v/>
      </c>
      <c r="E81" s="45">
        <f>MAX(0,MIN(C81,$B$15-D81))</f>
        <v/>
      </c>
      <c r="F81" s="45">
        <f>MAX(0,C81-E81)</f>
        <v/>
      </c>
    </row>
    <row r="82">
      <c r="A82" s="43" t="n">
        <v>59</v>
      </c>
      <c r="B82" s="43" t="inlineStr">
        <is>
          <t>2027-01-03</t>
        </is>
      </c>
      <c r="C82" s="19">
        <f>F81</f>
        <v/>
      </c>
      <c r="D82" s="19">
        <f>MAX(0,C82*$B$13/12)</f>
        <v/>
      </c>
      <c r="E82" s="19">
        <f>MAX(0,MIN(C82,$B$15-D82))</f>
        <v/>
      </c>
      <c r="F82" s="19">
        <f>MAX(0,C82-E82)</f>
        <v/>
      </c>
    </row>
    <row r="83">
      <c r="A83" s="44" t="n">
        <v>60</v>
      </c>
      <c r="B83" s="44" t="inlineStr">
        <is>
          <t>2027-02-03</t>
        </is>
      </c>
      <c r="C83" s="45">
        <f>F82</f>
        <v/>
      </c>
      <c r="D83" s="45">
        <f>MAX(0,C83*$B$13/12)</f>
        <v/>
      </c>
      <c r="E83" s="45">
        <f>MAX(0,MIN(C83,$B$15-D83))</f>
        <v/>
      </c>
      <c r="F83" s="45">
        <f>MAX(0,C83-E83)</f>
        <v/>
      </c>
    </row>
    <row r="84">
      <c r="A84" s="43" t="n">
        <v>61</v>
      </c>
      <c r="B84" s="43" t="inlineStr">
        <is>
          <t>2027-03-03</t>
        </is>
      </c>
      <c r="C84" s="19">
        <f>F83</f>
        <v/>
      </c>
      <c r="D84" s="19">
        <f>MAX(0,C84*$B$13/12)</f>
        <v/>
      </c>
      <c r="E84" s="19">
        <f>MAX(0,MIN(C84,$B$15-D84))</f>
        <v/>
      </c>
      <c r="F84" s="19">
        <f>MAX(0,C84-E84)</f>
        <v/>
      </c>
    </row>
    <row r="85">
      <c r="A85" s="44" t="n">
        <v>62</v>
      </c>
      <c r="B85" s="44" t="inlineStr">
        <is>
          <t>2027-04-03</t>
        </is>
      </c>
      <c r="C85" s="45">
        <f>F84</f>
        <v/>
      </c>
      <c r="D85" s="45">
        <f>MAX(0,C85*$B$13/12)</f>
        <v/>
      </c>
      <c r="E85" s="45">
        <f>MAX(0,MIN(C85,$B$15-D85))</f>
        <v/>
      </c>
      <c r="F85" s="45">
        <f>MAX(0,C85-E85)</f>
        <v/>
      </c>
    </row>
    <row r="86">
      <c r="A86" s="43" t="n">
        <v>63</v>
      </c>
      <c r="B86" s="43" t="inlineStr">
        <is>
          <t>2027-05-03</t>
        </is>
      </c>
      <c r="C86" s="19">
        <f>F85</f>
        <v/>
      </c>
      <c r="D86" s="19">
        <f>MAX(0,C86*$B$13/12)</f>
        <v/>
      </c>
      <c r="E86" s="19">
        <f>MAX(0,MIN(C86,$B$15-D86))</f>
        <v/>
      </c>
      <c r="F86" s="19">
        <f>MAX(0,C86-E86)</f>
        <v/>
      </c>
    </row>
    <row r="87">
      <c r="A87" s="44" t="n">
        <v>64</v>
      </c>
      <c r="B87" s="44" t="inlineStr">
        <is>
          <t>2027-06-03</t>
        </is>
      </c>
      <c r="C87" s="45">
        <f>F86</f>
        <v/>
      </c>
      <c r="D87" s="45">
        <f>MAX(0,C87*$B$13/12)</f>
        <v/>
      </c>
      <c r="E87" s="45">
        <f>MAX(0,MIN(C87,$B$15-D87))</f>
        <v/>
      </c>
      <c r="F87" s="45">
        <f>MAX(0,C87-E87)</f>
        <v/>
      </c>
    </row>
    <row r="88">
      <c r="A88" s="43" t="n">
        <v>65</v>
      </c>
      <c r="B88" s="43" t="inlineStr">
        <is>
          <t>2027-07-03</t>
        </is>
      </c>
      <c r="C88" s="19">
        <f>F87</f>
        <v/>
      </c>
      <c r="D88" s="19">
        <f>MAX(0,C88*$B$13/12)</f>
        <v/>
      </c>
      <c r="E88" s="19">
        <f>MAX(0,MIN(C88,$B$15-D88))</f>
        <v/>
      </c>
      <c r="F88" s="19">
        <f>MAX(0,C88-E88)</f>
        <v/>
      </c>
    </row>
    <row r="89">
      <c r="A89" s="44" t="n">
        <v>66</v>
      </c>
      <c r="B89" s="44" t="inlineStr">
        <is>
          <t>2027-08-03</t>
        </is>
      </c>
      <c r="C89" s="45">
        <f>F88</f>
        <v/>
      </c>
      <c r="D89" s="45">
        <f>MAX(0,C89*$B$13/12)</f>
        <v/>
      </c>
      <c r="E89" s="45">
        <f>MAX(0,MIN(C89,$B$15-D89))</f>
        <v/>
      </c>
      <c r="F89" s="45">
        <f>MAX(0,C89-E89)</f>
        <v/>
      </c>
    </row>
    <row r="90">
      <c r="A90" s="62" t="inlineStr">
        <is>
          <t>TOTALS</t>
        </is>
      </c>
      <c r="B90" s="63" t="n"/>
      <c r="C90" s="63" t="n"/>
      <c r="D90" s="64">
        <f>SUM(D24:D89)</f>
        <v/>
      </c>
      <c r="E90" s="64">
        <f>SUM(E24:E89)</f>
        <v/>
      </c>
      <c r="F90" s="63" t="n"/>
    </row>
    <row r="93">
      <c r="A93" s="15" t="inlineStr">
        <is>
          <t>LOAN 2: 25 Trailers (March 2022)</t>
        </is>
      </c>
    </row>
    <row r="94">
      <c r="A94" s="20" t="inlineStr">
        <is>
          <t>Loan ID:</t>
        </is>
      </c>
      <c r="B94" s="2" t="inlineStr">
        <is>
          <t>05-2961-002-000-00</t>
        </is>
      </c>
    </row>
    <row r="95">
      <c r="A95" s="20" t="inlineStr">
        <is>
          <t>Account:</t>
        </is>
      </c>
      <c r="B95" s="2" t="inlineStr">
        <is>
          <t>101-0014230-004</t>
        </is>
      </c>
    </row>
    <row r="96">
      <c r="A96" s="20" t="inlineStr">
        <is>
          <t>Opening Balance:</t>
        </is>
      </c>
      <c r="B96" s="3" t="n">
        <v>1438050</v>
      </c>
    </row>
    <row r="97">
      <c r="A97" s="20" t="inlineStr">
        <is>
          <t>Annual Rate:</t>
        </is>
      </c>
      <c r="B97" s="4" t="n">
        <v>0.0316</v>
      </c>
    </row>
    <row r="98">
      <c r="A98" s="20" t="inlineStr">
        <is>
          <t>Term Months:</t>
        </is>
      </c>
      <c r="B98" s="2" t="n">
        <v>84</v>
      </c>
    </row>
    <row r="99">
      <c r="A99" s="20" t="inlineStr">
        <is>
          <t>Monthly Payment:</t>
        </is>
      </c>
      <c r="B99" s="3" t="n">
        <v>19136.97</v>
      </c>
    </row>
    <row r="100">
      <c r="A100" s="20" t="inlineStr">
        <is>
          <t>Loan Type:</t>
        </is>
      </c>
      <c r="B100" t="inlineStr">
        <is>
          <t>AMORTIZING</t>
        </is>
      </c>
    </row>
    <row r="101">
      <c r="A101" s="20" t="inlineStr">
        <is>
          <t>Use:</t>
        </is>
      </c>
      <c r="B101" t="inlineStr">
        <is>
          <t>Equipment (Trailers - 25 Trailers)</t>
        </is>
      </c>
    </row>
    <row r="102">
      <c r="A102" s="20" t="inlineStr">
        <is>
          <t>Maturity Date:</t>
        </is>
      </c>
      <c r="B102" s="2" t="inlineStr">
        <is>
          <t>2029-03-17</t>
        </is>
      </c>
    </row>
    <row r="103">
      <c r="A103" s="17" t="inlineStr">
        <is>
          <t>AI ANALYSIS</t>
        </is>
      </c>
      <c r="B103" s="6" t="n"/>
      <c r="C103" s="6" t="n"/>
      <c r="D103" s="6" t="n"/>
      <c r="E103" s="6" t="n"/>
      <c r="F103" s="6" t="n"/>
    </row>
    <row r="104">
      <c r="A104" s="6" t="inlineStr">
        <is>
          <t>Classification:</t>
        </is>
      </c>
      <c r="B104" s="6" t="inlineStr">
        <is>
          <t>Standard equipment term loan with fixed monthly P&amp;I payments</t>
        </is>
      </c>
    </row>
    <row r="105">
      <c r="A105" s="6" t="inlineStr">
        <is>
          <t>Amortization:</t>
        </is>
      </c>
      <c r="B105" s="6" t="inlineStr">
        <is>
          <t>Fully amortizing over 84 months, no balloon payment</t>
        </is>
      </c>
    </row>
    <row r="107">
      <c r="A107" s="23" t="inlineStr">
        <is>
          <t>Month #</t>
        </is>
      </c>
      <c r="B107" s="23" t="inlineStr">
        <is>
          <t>Date</t>
        </is>
      </c>
      <c r="C107" s="23" t="inlineStr">
        <is>
          <t>Opening Balance</t>
        </is>
      </c>
      <c r="D107" s="23" t="inlineStr">
        <is>
          <t>Interest</t>
        </is>
      </c>
      <c r="E107" s="23" t="inlineStr">
        <is>
          <t>Principal</t>
        </is>
      </c>
      <c r="F107" s="23" t="inlineStr">
        <is>
          <t>Closing Balance</t>
        </is>
      </c>
    </row>
    <row r="108">
      <c r="A108" s="43" t="n">
        <v>1</v>
      </c>
      <c r="B108" s="43" t="inlineStr">
        <is>
          <t>2022-03-18</t>
        </is>
      </c>
      <c r="C108" s="19">
        <f>B96</f>
        <v/>
      </c>
      <c r="D108" s="19">
        <f>MAX(0,C108*$B$97/12)</f>
        <v/>
      </c>
      <c r="E108" s="19">
        <f>MAX(0,MIN(C108,$B$99-D108))</f>
        <v/>
      </c>
      <c r="F108" s="19">
        <f>MAX(0,C108-E108)</f>
        <v/>
      </c>
    </row>
    <row r="109">
      <c r="A109" s="44" t="n">
        <v>2</v>
      </c>
      <c r="B109" s="44" t="inlineStr">
        <is>
          <t>2022-04-18</t>
        </is>
      </c>
      <c r="C109" s="45">
        <f>F108</f>
        <v/>
      </c>
      <c r="D109" s="45">
        <f>MAX(0,C109*$B$97/12)</f>
        <v/>
      </c>
      <c r="E109" s="45">
        <f>MAX(0,MIN(C109,$B$99-D109))</f>
        <v/>
      </c>
      <c r="F109" s="45">
        <f>MAX(0,C109-E109)</f>
        <v/>
      </c>
    </row>
    <row r="110">
      <c r="A110" s="43" t="n">
        <v>3</v>
      </c>
      <c r="B110" s="43" t="inlineStr">
        <is>
          <t>2022-05-18</t>
        </is>
      </c>
      <c r="C110" s="19">
        <f>F109</f>
        <v/>
      </c>
      <c r="D110" s="19">
        <f>MAX(0,C110*$B$97/12)</f>
        <v/>
      </c>
      <c r="E110" s="19">
        <f>MAX(0,MIN(C110,$B$99-D110))</f>
        <v/>
      </c>
      <c r="F110" s="19">
        <f>MAX(0,C110-E110)</f>
        <v/>
      </c>
    </row>
    <row r="111">
      <c r="A111" s="44" t="n">
        <v>4</v>
      </c>
      <c r="B111" s="44" t="inlineStr">
        <is>
          <t>2022-06-18</t>
        </is>
      </c>
      <c r="C111" s="45">
        <f>F110</f>
        <v/>
      </c>
      <c r="D111" s="45">
        <f>MAX(0,C111*$B$97/12)</f>
        <v/>
      </c>
      <c r="E111" s="45">
        <f>MAX(0,MIN(C111,$B$99-D111))</f>
        <v/>
      </c>
      <c r="F111" s="45">
        <f>MAX(0,C111-E111)</f>
        <v/>
      </c>
    </row>
    <row r="112">
      <c r="A112" s="43" t="n">
        <v>5</v>
      </c>
      <c r="B112" s="43" t="inlineStr">
        <is>
          <t>2022-07-18</t>
        </is>
      </c>
      <c r="C112" s="19">
        <f>F111</f>
        <v/>
      </c>
      <c r="D112" s="19">
        <f>MAX(0,C112*$B$97/12)</f>
        <v/>
      </c>
      <c r="E112" s="19">
        <f>MAX(0,MIN(C112,$B$99-D112))</f>
        <v/>
      </c>
      <c r="F112" s="19">
        <f>MAX(0,C112-E112)</f>
        <v/>
      </c>
    </row>
    <row r="113">
      <c r="A113" s="44" t="n">
        <v>6</v>
      </c>
      <c r="B113" s="44" t="inlineStr">
        <is>
          <t>2022-08-18</t>
        </is>
      </c>
      <c r="C113" s="45">
        <f>F112</f>
        <v/>
      </c>
      <c r="D113" s="45">
        <f>MAX(0,C113*$B$97/12)</f>
        <v/>
      </c>
      <c r="E113" s="45">
        <f>MAX(0,MIN(C113,$B$99-D113))</f>
        <v/>
      </c>
      <c r="F113" s="45">
        <f>MAX(0,C113-E113)</f>
        <v/>
      </c>
    </row>
    <row r="114">
      <c r="A114" s="43" t="n">
        <v>7</v>
      </c>
      <c r="B114" s="43" t="inlineStr">
        <is>
          <t>2022-09-18</t>
        </is>
      </c>
      <c r="C114" s="19">
        <f>F113</f>
        <v/>
      </c>
      <c r="D114" s="19">
        <f>MAX(0,C114*$B$97/12)</f>
        <v/>
      </c>
      <c r="E114" s="19">
        <f>MAX(0,MIN(C114,$B$99-D114))</f>
        <v/>
      </c>
      <c r="F114" s="19">
        <f>MAX(0,C114-E114)</f>
        <v/>
      </c>
    </row>
    <row r="115">
      <c r="A115" s="44" t="n">
        <v>8</v>
      </c>
      <c r="B115" s="44" t="inlineStr">
        <is>
          <t>2022-10-18</t>
        </is>
      </c>
      <c r="C115" s="45">
        <f>F114</f>
        <v/>
      </c>
      <c r="D115" s="45">
        <f>MAX(0,C115*$B$97/12)</f>
        <v/>
      </c>
      <c r="E115" s="45">
        <f>MAX(0,MIN(C115,$B$99-D115))</f>
        <v/>
      </c>
      <c r="F115" s="45">
        <f>MAX(0,C115-E115)</f>
        <v/>
      </c>
    </row>
    <row r="116">
      <c r="A116" s="43" t="n">
        <v>9</v>
      </c>
      <c r="B116" s="43" t="inlineStr">
        <is>
          <t>2022-11-18</t>
        </is>
      </c>
      <c r="C116" s="19">
        <f>F115</f>
        <v/>
      </c>
      <c r="D116" s="19">
        <f>MAX(0,C116*$B$97/12)</f>
        <v/>
      </c>
      <c r="E116" s="19">
        <f>MAX(0,MIN(C116,$B$99-D116))</f>
        <v/>
      </c>
      <c r="F116" s="19">
        <f>MAX(0,C116-E116)</f>
        <v/>
      </c>
    </row>
    <row r="117">
      <c r="A117" s="44" t="n">
        <v>10</v>
      </c>
      <c r="B117" s="44" t="inlineStr">
        <is>
          <t>2022-12-18</t>
        </is>
      </c>
      <c r="C117" s="45">
        <f>F116</f>
        <v/>
      </c>
      <c r="D117" s="45">
        <f>MAX(0,C117*$B$97/12)</f>
        <v/>
      </c>
      <c r="E117" s="45">
        <f>MAX(0,MIN(C117,$B$99-D117))</f>
        <v/>
      </c>
      <c r="F117" s="45">
        <f>MAX(0,C117-E117)</f>
        <v/>
      </c>
    </row>
    <row r="118">
      <c r="A118" s="43" t="n">
        <v>11</v>
      </c>
      <c r="B118" s="43" t="inlineStr">
        <is>
          <t>2023-01-18</t>
        </is>
      </c>
      <c r="C118" s="19">
        <f>F117</f>
        <v/>
      </c>
      <c r="D118" s="19">
        <f>MAX(0,C118*$B$97/12)</f>
        <v/>
      </c>
      <c r="E118" s="19">
        <f>MAX(0,MIN(C118,$B$99-D118))</f>
        <v/>
      </c>
      <c r="F118" s="19">
        <f>MAX(0,C118-E118)</f>
        <v/>
      </c>
    </row>
    <row r="119">
      <c r="A119" s="44" t="n">
        <v>12</v>
      </c>
      <c r="B119" s="44" t="inlineStr">
        <is>
          <t>2023-02-18</t>
        </is>
      </c>
      <c r="C119" s="45">
        <f>F118</f>
        <v/>
      </c>
      <c r="D119" s="45">
        <f>MAX(0,C119*$B$97/12)</f>
        <v/>
      </c>
      <c r="E119" s="45">
        <f>MAX(0,MIN(C119,$B$99-D119))</f>
        <v/>
      </c>
      <c r="F119" s="45">
        <f>MAX(0,C119-E119)</f>
        <v/>
      </c>
    </row>
    <row r="120">
      <c r="A120" s="43" t="n">
        <v>13</v>
      </c>
      <c r="B120" s="43" t="inlineStr">
        <is>
          <t>2023-03-18</t>
        </is>
      </c>
      <c r="C120" s="19">
        <f>F119</f>
        <v/>
      </c>
      <c r="D120" s="19">
        <f>MAX(0,C120*$B$97/12)</f>
        <v/>
      </c>
      <c r="E120" s="19">
        <f>MAX(0,MIN(C120,$B$99-D120))</f>
        <v/>
      </c>
      <c r="F120" s="19">
        <f>MAX(0,C120-E120)</f>
        <v/>
      </c>
    </row>
    <row r="121">
      <c r="A121" s="44" t="n">
        <v>14</v>
      </c>
      <c r="B121" s="44" t="inlineStr">
        <is>
          <t>2023-04-18</t>
        </is>
      </c>
      <c r="C121" s="45">
        <f>F120</f>
        <v/>
      </c>
      <c r="D121" s="45">
        <f>MAX(0,C121*$B$97/12)</f>
        <v/>
      </c>
      <c r="E121" s="45">
        <f>MAX(0,MIN(C121,$B$99-D121))</f>
        <v/>
      </c>
      <c r="F121" s="45">
        <f>MAX(0,C121-E121)</f>
        <v/>
      </c>
    </row>
    <row r="122">
      <c r="A122" s="43" t="n">
        <v>15</v>
      </c>
      <c r="B122" s="43" t="inlineStr">
        <is>
          <t>2023-05-18</t>
        </is>
      </c>
      <c r="C122" s="19">
        <f>F121</f>
        <v/>
      </c>
      <c r="D122" s="19">
        <f>MAX(0,C122*$B$97/12)</f>
        <v/>
      </c>
      <c r="E122" s="19">
        <f>MAX(0,MIN(C122,$B$99-D122))</f>
        <v/>
      </c>
      <c r="F122" s="19">
        <f>MAX(0,C122-E122)</f>
        <v/>
      </c>
    </row>
    <row r="123">
      <c r="A123" s="44" t="n">
        <v>16</v>
      </c>
      <c r="B123" s="44" t="inlineStr">
        <is>
          <t>2023-06-18</t>
        </is>
      </c>
      <c r="C123" s="45">
        <f>F122</f>
        <v/>
      </c>
      <c r="D123" s="45">
        <f>MAX(0,C123*$B$97/12)</f>
        <v/>
      </c>
      <c r="E123" s="45">
        <f>MAX(0,MIN(C123,$B$99-D123))</f>
        <v/>
      </c>
      <c r="F123" s="45">
        <f>MAX(0,C123-E123)</f>
        <v/>
      </c>
    </row>
    <row r="124">
      <c r="A124" s="43" t="n">
        <v>17</v>
      </c>
      <c r="B124" s="43" t="inlineStr">
        <is>
          <t>2023-07-18</t>
        </is>
      </c>
      <c r="C124" s="19">
        <f>F123</f>
        <v/>
      </c>
      <c r="D124" s="19">
        <f>MAX(0,C124*$B$97/12)</f>
        <v/>
      </c>
      <c r="E124" s="19">
        <f>MAX(0,MIN(C124,$B$99-D124))</f>
        <v/>
      </c>
      <c r="F124" s="19">
        <f>MAX(0,C124-E124)</f>
        <v/>
      </c>
    </row>
    <row r="125">
      <c r="A125" s="44" t="n">
        <v>18</v>
      </c>
      <c r="B125" s="44" t="inlineStr">
        <is>
          <t>2023-08-18</t>
        </is>
      </c>
      <c r="C125" s="45">
        <f>F124</f>
        <v/>
      </c>
      <c r="D125" s="45">
        <f>MAX(0,C125*$B$97/12)</f>
        <v/>
      </c>
      <c r="E125" s="45">
        <f>MAX(0,MIN(C125,$B$99-D125))</f>
        <v/>
      </c>
      <c r="F125" s="45">
        <f>MAX(0,C125-E125)</f>
        <v/>
      </c>
    </row>
    <row r="126">
      <c r="A126" s="43" t="n">
        <v>19</v>
      </c>
      <c r="B126" s="43" t="inlineStr">
        <is>
          <t>2023-09-18</t>
        </is>
      </c>
      <c r="C126" s="19">
        <f>F125</f>
        <v/>
      </c>
      <c r="D126" s="19">
        <f>MAX(0,C126*$B$97/12)</f>
        <v/>
      </c>
      <c r="E126" s="19">
        <f>MAX(0,MIN(C126,$B$99-D126))</f>
        <v/>
      </c>
      <c r="F126" s="19">
        <f>MAX(0,C126-E126)</f>
        <v/>
      </c>
    </row>
    <row r="127">
      <c r="A127" s="44" t="n">
        <v>20</v>
      </c>
      <c r="B127" s="44" t="inlineStr">
        <is>
          <t>2023-10-18</t>
        </is>
      </c>
      <c r="C127" s="45">
        <f>F126</f>
        <v/>
      </c>
      <c r="D127" s="45">
        <f>MAX(0,C127*$B$97/12)</f>
        <v/>
      </c>
      <c r="E127" s="45">
        <f>MAX(0,MIN(C127,$B$99-D127))</f>
        <v/>
      </c>
      <c r="F127" s="45">
        <f>MAX(0,C127-E127)</f>
        <v/>
      </c>
    </row>
    <row r="128">
      <c r="A128" s="43" t="n">
        <v>21</v>
      </c>
      <c r="B128" s="43" t="inlineStr">
        <is>
          <t>2023-11-18</t>
        </is>
      </c>
      <c r="C128" s="19">
        <f>F127</f>
        <v/>
      </c>
      <c r="D128" s="19">
        <f>MAX(0,C128*$B$97/12)</f>
        <v/>
      </c>
      <c r="E128" s="19">
        <f>MAX(0,MIN(C128,$B$99-D128))</f>
        <v/>
      </c>
      <c r="F128" s="19">
        <f>MAX(0,C128-E128)</f>
        <v/>
      </c>
    </row>
    <row r="129">
      <c r="A129" s="44" t="n">
        <v>22</v>
      </c>
      <c r="B129" s="44" t="inlineStr">
        <is>
          <t>2023-12-18</t>
        </is>
      </c>
      <c r="C129" s="45">
        <f>F128</f>
        <v/>
      </c>
      <c r="D129" s="45">
        <f>MAX(0,C129*$B$97/12)</f>
        <v/>
      </c>
      <c r="E129" s="45">
        <f>MAX(0,MIN(C129,$B$99-D129))</f>
        <v/>
      </c>
      <c r="F129" s="45">
        <f>MAX(0,C129-E129)</f>
        <v/>
      </c>
    </row>
    <row r="130">
      <c r="A130" s="43" t="n">
        <v>23</v>
      </c>
      <c r="B130" s="43" t="inlineStr">
        <is>
          <t>2024-01-18</t>
        </is>
      </c>
      <c r="C130" s="19">
        <f>F129</f>
        <v/>
      </c>
      <c r="D130" s="19">
        <f>MAX(0,C130*$B$97/12)</f>
        <v/>
      </c>
      <c r="E130" s="19">
        <f>MAX(0,MIN(C130,$B$99-D130))</f>
        <v/>
      </c>
      <c r="F130" s="19">
        <f>MAX(0,C130-E130)</f>
        <v/>
      </c>
    </row>
    <row r="131">
      <c r="A131" s="44" t="n">
        <v>24</v>
      </c>
      <c r="B131" s="44" t="inlineStr">
        <is>
          <t>2024-02-18</t>
        </is>
      </c>
      <c r="C131" s="45">
        <f>F130</f>
        <v/>
      </c>
      <c r="D131" s="45">
        <f>MAX(0,C131*$B$97/12)</f>
        <v/>
      </c>
      <c r="E131" s="45">
        <f>MAX(0,MIN(C131,$B$99-D131))</f>
        <v/>
      </c>
      <c r="F131" s="45">
        <f>MAX(0,C131-E131)</f>
        <v/>
      </c>
    </row>
    <row r="132">
      <c r="A132" s="43" t="n">
        <v>25</v>
      </c>
      <c r="B132" s="43" t="inlineStr">
        <is>
          <t>2024-03-18</t>
        </is>
      </c>
      <c r="C132" s="19">
        <f>F131</f>
        <v/>
      </c>
      <c r="D132" s="19">
        <f>MAX(0,C132*$B$97/12)</f>
        <v/>
      </c>
      <c r="E132" s="19">
        <f>MAX(0,MIN(C132,$B$99-D132))</f>
        <v/>
      </c>
      <c r="F132" s="19">
        <f>MAX(0,C132-E132)</f>
        <v/>
      </c>
    </row>
    <row r="133">
      <c r="A133" s="44" t="n">
        <v>26</v>
      </c>
      <c r="B133" s="44" t="inlineStr">
        <is>
          <t>2024-04-18</t>
        </is>
      </c>
      <c r="C133" s="45">
        <f>F132</f>
        <v/>
      </c>
      <c r="D133" s="45">
        <f>MAX(0,C133*$B$97/12)</f>
        <v/>
      </c>
      <c r="E133" s="45">
        <f>MAX(0,MIN(C133,$B$99-D133))</f>
        <v/>
      </c>
      <c r="F133" s="45">
        <f>MAX(0,C133-E133)</f>
        <v/>
      </c>
    </row>
    <row r="134">
      <c r="A134" s="43" t="n">
        <v>27</v>
      </c>
      <c r="B134" s="43" t="inlineStr">
        <is>
          <t>2024-05-18</t>
        </is>
      </c>
      <c r="C134" s="19">
        <f>F133</f>
        <v/>
      </c>
      <c r="D134" s="19">
        <f>MAX(0,C134*$B$97/12)</f>
        <v/>
      </c>
      <c r="E134" s="19">
        <f>MAX(0,MIN(C134,$B$99-D134))</f>
        <v/>
      </c>
      <c r="F134" s="19">
        <f>MAX(0,C134-E134)</f>
        <v/>
      </c>
    </row>
    <row r="135">
      <c r="A135" s="44" t="n">
        <v>28</v>
      </c>
      <c r="B135" s="44" t="inlineStr">
        <is>
          <t>2024-06-18</t>
        </is>
      </c>
      <c r="C135" s="45">
        <f>F134</f>
        <v/>
      </c>
      <c r="D135" s="45">
        <f>MAX(0,C135*$B$97/12)</f>
        <v/>
      </c>
      <c r="E135" s="45">
        <f>MAX(0,MIN(C135,$B$99-D135))</f>
        <v/>
      </c>
      <c r="F135" s="45">
        <f>MAX(0,C135-E135)</f>
        <v/>
      </c>
    </row>
    <row r="136">
      <c r="A136" s="43" t="n">
        <v>29</v>
      </c>
      <c r="B136" s="43" t="inlineStr">
        <is>
          <t>2024-07-18</t>
        </is>
      </c>
      <c r="C136" s="19">
        <f>F135</f>
        <v/>
      </c>
      <c r="D136" s="19">
        <f>MAX(0,C136*$B$97/12)</f>
        <v/>
      </c>
      <c r="E136" s="19">
        <f>MAX(0,MIN(C136,$B$99-D136))</f>
        <v/>
      </c>
      <c r="F136" s="19">
        <f>MAX(0,C136-E136)</f>
        <v/>
      </c>
    </row>
    <row r="137">
      <c r="A137" s="44" t="n">
        <v>30</v>
      </c>
      <c r="B137" s="44" t="inlineStr">
        <is>
          <t>2024-08-18</t>
        </is>
      </c>
      <c r="C137" s="45">
        <f>F136</f>
        <v/>
      </c>
      <c r="D137" s="45">
        <f>MAX(0,C137*$B$97/12)</f>
        <v/>
      </c>
      <c r="E137" s="45">
        <f>MAX(0,MIN(C137,$B$99-D137))</f>
        <v/>
      </c>
      <c r="F137" s="45">
        <f>MAX(0,C137-E137)</f>
        <v/>
      </c>
    </row>
    <row r="138">
      <c r="A138" s="43" t="n">
        <v>31</v>
      </c>
      <c r="B138" s="43" t="inlineStr">
        <is>
          <t>2024-09-18</t>
        </is>
      </c>
      <c r="C138" s="19">
        <f>F137</f>
        <v/>
      </c>
      <c r="D138" s="19">
        <f>MAX(0,C138*$B$97/12)</f>
        <v/>
      </c>
      <c r="E138" s="19">
        <f>MAX(0,MIN(C138,$B$99-D138))</f>
        <v/>
      </c>
      <c r="F138" s="19">
        <f>MAX(0,C138-E138)</f>
        <v/>
      </c>
    </row>
    <row r="139">
      <c r="A139" s="44" t="n">
        <v>32</v>
      </c>
      <c r="B139" s="44" t="inlineStr">
        <is>
          <t>2024-10-18</t>
        </is>
      </c>
      <c r="C139" s="45">
        <f>F138</f>
        <v/>
      </c>
      <c r="D139" s="45">
        <f>MAX(0,C139*$B$97/12)</f>
        <v/>
      </c>
      <c r="E139" s="45">
        <f>MAX(0,MIN(C139,$B$99-D139))</f>
        <v/>
      </c>
      <c r="F139" s="45">
        <f>MAX(0,C139-E139)</f>
        <v/>
      </c>
    </row>
    <row r="140">
      <c r="A140" s="43" t="n">
        <v>33</v>
      </c>
      <c r="B140" s="43" t="inlineStr">
        <is>
          <t>2024-11-18</t>
        </is>
      </c>
      <c r="C140" s="19">
        <f>F139</f>
        <v/>
      </c>
      <c r="D140" s="19">
        <f>MAX(0,C140*$B$97/12)</f>
        <v/>
      </c>
      <c r="E140" s="19">
        <f>MAX(0,MIN(C140,$B$99-D140))</f>
        <v/>
      </c>
      <c r="F140" s="19">
        <f>MAX(0,C140-E140)</f>
        <v/>
      </c>
    </row>
    <row r="141">
      <c r="A141" s="44" t="n">
        <v>34</v>
      </c>
      <c r="B141" s="44" t="inlineStr">
        <is>
          <t>2024-12-18</t>
        </is>
      </c>
      <c r="C141" s="45">
        <f>F140</f>
        <v/>
      </c>
      <c r="D141" s="45">
        <f>MAX(0,C141*$B$97/12)</f>
        <v/>
      </c>
      <c r="E141" s="45">
        <f>MAX(0,MIN(C141,$B$99-D141))</f>
        <v/>
      </c>
      <c r="F141" s="45">
        <f>MAX(0,C141-E141)</f>
        <v/>
      </c>
    </row>
    <row r="142">
      <c r="A142" s="43" t="n">
        <v>35</v>
      </c>
      <c r="B142" s="43" t="inlineStr">
        <is>
          <t>2025-01-18</t>
        </is>
      </c>
      <c r="C142" s="19">
        <f>F141</f>
        <v/>
      </c>
      <c r="D142" s="19">
        <f>MAX(0,C142*$B$97/12)</f>
        <v/>
      </c>
      <c r="E142" s="19">
        <f>MAX(0,MIN(C142,$B$99-D142))</f>
        <v/>
      </c>
      <c r="F142" s="19">
        <f>MAX(0,C142-E142)</f>
        <v/>
      </c>
    </row>
    <row r="143">
      <c r="A143" s="44" t="n">
        <v>36</v>
      </c>
      <c r="B143" s="44" t="inlineStr">
        <is>
          <t>2025-02-18</t>
        </is>
      </c>
      <c r="C143" s="45">
        <f>F142</f>
        <v/>
      </c>
      <c r="D143" s="45">
        <f>MAX(0,C143*$B$97/12)</f>
        <v/>
      </c>
      <c r="E143" s="45">
        <f>MAX(0,MIN(C143,$B$99-D143))</f>
        <v/>
      </c>
      <c r="F143" s="45">
        <f>MAX(0,C143-E143)</f>
        <v/>
      </c>
    </row>
    <row r="144">
      <c r="A144" s="43" t="n">
        <v>37</v>
      </c>
      <c r="B144" s="43" t="inlineStr">
        <is>
          <t>2025-03-18</t>
        </is>
      </c>
      <c r="C144" s="19">
        <f>F143</f>
        <v/>
      </c>
      <c r="D144" s="19">
        <f>MAX(0,C144*$B$97/12)</f>
        <v/>
      </c>
      <c r="E144" s="19">
        <f>MAX(0,MIN(C144,$B$99-D144))</f>
        <v/>
      </c>
      <c r="F144" s="19">
        <f>MAX(0,C144-E144)</f>
        <v/>
      </c>
    </row>
    <row r="145">
      <c r="A145" s="44" t="n">
        <v>38</v>
      </c>
      <c r="B145" s="44" t="inlineStr">
        <is>
          <t>2025-04-18</t>
        </is>
      </c>
      <c r="C145" s="45">
        <f>F144</f>
        <v/>
      </c>
      <c r="D145" s="45">
        <f>MAX(0,C145*$B$97/12)</f>
        <v/>
      </c>
      <c r="E145" s="45">
        <f>MAX(0,MIN(C145,$B$99-D145))</f>
        <v/>
      </c>
      <c r="F145" s="45">
        <f>MAX(0,C145-E145)</f>
        <v/>
      </c>
    </row>
    <row r="146">
      <c r="A146" s="43" t="n">
        <v>39</v>
      </c>
      <c r="B146" s="43" t="inlineStr">
        <is>
          <t>2025-05-18</t>
        </is>
      </c>
      <c r="C146" s="19">
        <f>F145</f>
        <v/>
      </c>
      <c r="D146" s="19">
        <f>MAX(0,C146*$B$97/12)</f>
        <v/>
      </c>
      <c r="E146" s="19">
        <f>MAX(0,MIN(C146,$B$99-D146))</f>
        <v/>
      </c>
      <c r="F146" s="19">
        <f>MAX(0,C146-E146)</f>
        <v/>
      </c>
    </row>
    <row r="147">
      <c r="A147" s="44" t="n">
        <v>40</v>
      </c>
      <c r="B147" s="44" t="inlineStr">
        <is>
          <t>2025-06-18</t>
        </is>
      </c>
      <c r="C147" s="45">
        <f>F146</f>
        <v/>
      </c>
      <c r="D147" s="45">
        <f>MAX(0,C147*$B$97/12)</f>
        <v/>
      </c>
      <c r="E147" s="45">
        <f>MAX(0,MIN(C147,$B$99-D147))</f>
        <v/>
      </c>
      <c r="F147" s="45">
        <f>MAX(0,C147-E147)</f>
        <v/>
      </c>
    </row>
    <row r="148">
      <c r="A148" s="43" t="n">
        <v>41</v>
      </c>
      <c r="B148" s="43" t="inlineStr">
        <is>
          <t>2025-07-18</t>
        </is>
      </c>
      <c r="C148" s="19">
        <f>F147</f>
        <v/>
      </c>
      <c r="D148" s="19">
        <f>MAX(0,C148*$B$97/12)</f>
        <v/>
      </c>
      <c r="E148" s="19">
        <f>MAX(0,MIN(C148,$B$99-D148))</f>
        <v/>
      </c>
      <c r="F148" s="19">
        <f>MAX(0,C148-E148)</f>
        <v/>
      </c>
    </row>
    <row r="149">
      <c r="A149" s="44" t="n">
        <v>42</v>
      </c>
      <c r="B149" s="44" t="inlineStr">
        <is>
          <t>2025-08-18</t>
        </is>
      </c>
      <c r="C149" s="45">
        <f>F148</f>
        <v/>
      </c>
      <c r="D149" s="45">
        <f>MAX(0,C149*$B$97/12)</f>
        <v/>
      </c>
      <c r="E149" s="45">
        <f>MAX(0,MIN(C149,$B$99-D149))</f>
        <v/>
      </c>
      <c r="F149" s="45">
        <f>MAX(0,C149-E149)</f>
        <v/>
      </c>
    </row>
    <row r="150">
      <c r="A150" s="43" t="n">
        <v>43</v>
      </c>
      <c r="B150" s="43" t="inlineStr">
        <is>
          <t>2025-09-18</t>
        </is>
      </c>
      <c r="C150" s="19">
        <f>F149</f>
        <v/>
      </c>
      <c r="D150" s="19">
        <f>MAX(0,C150*$B$97/12)</f>
        <v/>
      </c>
      <c r="E150" s="19">
        <f>MAX(0,MIN(C150,$B$99-D150))</f>
        <v/>
      </c>
      <c r="F150" s="19">
        <f>MAX(0,C150-E150)</f>
        <v/>
      </c>
    </row>
    <row r="151">
      <c r="A151" s="44" t="n">
        <v>44</v>
      </c>
      <c r="B151" s="44" t="inlineStr">
        <is>
          <t>2025-10-18</t>
        </is>
      </c>
      <c r="C151" s="45">
        <f>F150</f>
        <v/>
      </c>
      <c r="D151" s="45">
        <f>MAX(0,C151*$B$97/12)</f>
        <v/>
      </c>
      <c r="E151" s="45">
        <f>MAX(0,MIN(C151,$B$99-D151))</f>
        <v/>
      </c>
      <c r="F151" s="45">
        <f>MAX(0,C151-E151)</f>
        <v/>
      </c>
    </row>
    <row r="152">
      <c r="A152" s="43" t="n">
        <v>45</v>
      </c>
      <c r="B152" s="43" t="inlineStr">
        <is>
          <t>2025-11-18</t>
        </is>
      </c>
      <c r="C152" s="19">
        <f>F151</f>
        <v/>
      </c>
      <c r="D152" s="19">
        <f>MAX(0,C152*$B$97/12)</f>
        <v/>
      </c>
      <c r="E152" s="19">
        <f>MAX(0,MIN(C152,$B$99-D152))</f>
        <v/>
      </c>
      <c r="F152" s="19">
        <f>MAX(0,C152-E152)</f>
        <v/>
      </c>
    </row>
    <row r="153">
      <c r="A153" s="44" t="n">
        <v>46</v>
      </c>
      <c r="B153" s="44" t="inlineStr">
        <is>
          <t>2025-12-18</t>
        </is>
      </c>
      <c r="C153" s="45">
        <f>F152</f>
        <v/>
      </c>
      <c r="D153" s="45">
        <f>MAX(0,C153*$B$97/12)</f>
        <v/>
      </c>
      <c r="E153" s="45">
        <f>MAX(0,MIN(C153,$B$99-D153))</f>
        <v/>
      </c>
      <c r="F153" s="45">
        <f>MAX(0,C153-E153)</f>
        <v/>
      </c>
    </row>
    <row r="154">
      <c r="A154" s="43" t="n">
        <v>47</v>
      </c>
      <c r="B154" s="43" t="inlineStr">
        <is>
          <t>2026-01-18</t>
        </is>
      </c>
      <c r="C154" s="19">
        <f>F153</f>
        <v/>
      </c>
      <c r="D154" s="19">
        <f>MAX(0,C154*$B$97/12)</f>
        <v/>
      </c>
      <c r="E154" s="19">
        <f>MAX(0,MIN(C154,$B$99-D154))</f>
        <v/>
      </c>
      <c r="F154" s="19">
        <f>MAX(0,C154-E154)</f>
        <v/>
      </c>
    </row>
    <row r="155">
      <c r="A155" s="44" t="n">
        <v>48</v>
      </c>
      <c r="B155" s="44" t="inlineStr">
        <is>
          <t>2026-02-18</t>
        </is>
      </c>
      <c r="C155" s="45">
        <f>F154</f>
        <v/>
      </c>
      <c r="D155" s="45">
        <f>MAX(0,C155*$B$97/12)</f>
        <v/>
      </c>
      <c r="E155" s="45">
        <f>MAX(0,MIN(C155,$B$99-D155))</f>
        <v/>
      </c>
      <c r="F155" s="45">
        <f>MAX(0,C155-E155)</f>
        <v/>
      </c>
    </row>
    <row r="156">
      <c r="A156" s="43" t="n">
        <v>49</v>
      </c>
      <c r="B156" s="43" t="inlineStr">
        <is>
          <t>2026-03-18</t>
        </is>
      </c>
      <c r="C156" s="19">
        <f>F155</f>
        <v/>
      </c>
      <c r="D156" s="19">
        <f>MAX(0,C156*$B$97/12)</f>
        <v/>
      </c>
      <c r="E156" s="19">
        <f>MAX(0,MIN(C156,$B$99-D156))</f>
        <v/>
      </c>
      <c r="F156" s="19">
        <f>MAX(0,C156-E156)</f>
        <v/>
      </c>
    </row>
    <row r="157">
      <c r="A157" s="44" t="n">
        <v>50</v>
      </c>
      <c r="B157" s="44" t="inlineStr">
        <is>
          <t>2026-04-18</t>
        </is>
      </c>
      <c r="C157" s="45">
        <f>F156</f>
        <v/>
      </c>
      <c r="D157" s="45">
        <f>MAX(0,C157*$B$97/12)</f>
        <v/>
      </c>
      <c r="E157" s="45">
        <f>MAX(0,MIN(C157,$B$99-D157))</f>
        <v/>
      </c>
      <c r="F157" s="45">
        <f>MAX(0,C157-E157)</f>
        <v/>
      </c>
    </row>
    <row r="158">
      <c r="A158" s="43" t="n">
        <v>51</v>
      </c>
      <c r="B158" s="43" t="inlineStr">
        <is>
          <t>2026-05-18</t>
        </is>
      </c>
      <c r="C158" s="19">
        <f>F157</f>
        <v/>
      </c>
      <c r="D158" s="19">
        <f>MAX(0,C158*$B$97/12)</f>
        <v/>
      </c>
      <c r="E158" s="19">
        <f>MAX(0,MIN(C158,$B$99-D158))</f>
        <v/>
      </c>
      <c r="F158" s="19">
        <f>MAX(0,C158-E158)</f>
        <v/>
      </c>
    </row>
    <row r="159">
      <c r="A159" s="44" t="n">
        <v>52</v>
      </c>
      <c r="B159" s="44" t="inlineStr">
        <is>
          <t>2026-06-18</t>
        </is>
      </c>
      <c r="C159" s="45">
        <f>F158</f>
        <v/>
      </c>
      <c r="D159" s="45">
        <f>MAX(0,C159*$B$97/12)</f>
        <v/>
      </c>
      <c r="E159" s="45">
        <f>MAX(0,MIN(C159,$B$99-D159))</f>
        <v/>
      </c>
      <c r="F159" s="45">
        <f>MAX(0,C159-E159)</f>
        <v/>
      </c>
    </row>
    <row r="160">
      <c r="A160" s="43" t="n">
        <v>53</v>
      </c>
      <c r="B160" s="43" t="inlineStr">
        <is>
          <t>2026-07-18</t>
        </is>
      </c>
      <c r="C160" s="19">
        <f>F159</f>
        <v/>
      </c>
      <c r="D160" s="19">
        <f>MAX(0,C160*$B$97/12)</f>
        <v/>
      </c>
      <c r="E160" s="19">
        <f>MAX(0,MIN(C160,$B$99-D160))</f>
        <v/>
      </c>
      <c r="F160" s="19">
        <f>MAX(0,C160-E160)</f>
        <v/>
      </c>
    </row>
    <row r="161">
      <c r="A161" s="44" t="n">
        <v>54</v>
      </c>
      <c r="B161" s="44" t="inlineStr">
        <is>
          <t>2026-08-18</t>
        </is>
      </c>
      <c r="C161" s="45">
        <f>F160</f>
        <v/>
      </c>
      <c r="D161" s="45">
        <f>MAX(0,C161*$B$97/12)</f>
        <v/>
      </c>
      <c r="E161" s="45">
        <f>MAX(0,MIN(C161,$B$99-D161))</f>
        <v/>
      </c>
      <c r="F161" s="45">
        <f>MAX(0,C161-E161)</f>
        <v/>
      </c>
    </row>
    <row r="162">
      <c r="A162" s="43" t="n">
        <v>55</v>
      </c>
      <c r="B162" s="43" t="inlineStr">
        <is>
          <t>2026-09-18</t>
        </is>
      </c>
      <c r="C162" s="19">
        <f>F161</f>
        <v/>
      </c>
      <c r="D162" s="19">
        <f>MAX(0,C162*$B$97/12)</f>
        <v/>
      </c>
      <c r="E162" s="19">
        <f>MAX(0,MIN(C162,$B$99-D162))</f>
        <v/>
      </c>
      <c r="F162" s="19">
        <f>MAX(0,C162-E162)</f>
        <v/>
      </c>
    </row>
    <row r="163">
      <c r="A163" s="44" t="n">
        <v>56</v>
      </c>
      <c r="B163" s="44" t="inlineStr">
        <is>
          <t>2026-10-18</t>
        </is>
      </c>
      <c r="C163" s="45">
        <f>F162</f>
        <v/>
      </c>
      <c r="D163" s="45">
        <f>MAX(0,C163*$B$97/12)</f>
        <v/>
      </c>
      <c r="E163" s="45">
        <f>MAX(0,MIN(C163,$B$99-D163))</f>
        <v/>
      </c>
      <c r="F163" s="45">
        <f>MAX(0,C163-E163)</f>
        <v/>
      </c>
    </row>
    <row r="164">
      <c r="A164" s="43" t="n">
        <v>57</v>
      </c>
      <c r="B164" s="43" t="inlineStr">
        <is>
          <t>2026-11-18</t>
        </is>
      </c>
      <c r="C164" s="19">
        <f>F163</f>
        <v/>
      </c>
      <c r="D164" s="19">
        <f>MAX(0,C164*$B$97/12)</f>
        <v/>
      </c>
      <c r="E164" s="19">
        <f>MAX(0,MIN(C164,$B$99-D164))</f>
        <v/>
      </c>
      <c r="F164" s="19">
        <f>MAX(0,C164-E164)</f>
        <v/>
      </c>
    </row>
    <row r="165">
      <c r="A165" s="44" t="n">
        <v>58</v>
      </c>
      <c r="B165" s="44" t="inlineStr">
        <is>
          <t>2026-12-18</t>
        </is>
      </c>
      <c r="C165" s="45">
        <f>F164</f>
        <v/>
      </c>
      <c r="D165" s="45">
        <f>MAX(0,C165*$B$97/12)</f>
        <v/>
      </c>
      <c r="E165" s="45">
        <f>MAX(0,MIN(C165,$B$99-D165))</f>
        <v/>
      </c>
      <c r="F165" s="45">
        <f>MAX(0,C165-E165)</f>
        <v/>
      </c>
    </row>
    <row r="166">
      <c r="A166" s="43" t="n">
        <v>59</v>
      </c>
      <c r="B166" s="43" t="inlineStr">
        <is>
          <t>2027-01-18</t>
        </is>
      </c>
      <c r="C166" s="19">
        <f>F165</f>
        <v/>
      </c>
      <c r="D166" s="19">
        <f>MAX(0,C166*$B$97/12)</f>
        <v/>
      </c>
      <c r="E166" s="19">
        <f>MAX(0,MIN(C166,$B$99-D166))</f>
        <v/>
      </c>
      <c r="F166" s="19">
        <f>MAX(0,C166-E166)</f>
        <v/>
      </c>
    </row>
    <row r="167">
      <c r="A167" s="44" t="n">
        <v>60</v>
      </c>
      <c r="B167" s="44" t="inlineStr">
        <is>
          <t>2027-02-18</t>
        </is>
      </c>
      <c r="C167" s="45">
        <f>F166</f>
        <v/>
      </c>
      <c r="D167" s="45">
        <f>MAX(0,C167*$B$97/12)</f>
        <v/>
      </c>
      <c r="E167" s="45">
        <f>MAX(0,MIN(C167,$B$99-D167))</f>
        <v/>
      </c>
      <c r="F167" s="45">
        <f>MAX(0,C167-E167)</f>
        <v/>
      </c>
    </row>
    <row r="168">
      <c r="A168" s="43" t="n">
        <v>61</v>
      </c>
      <c r="B168" s="43" t="inlineStr">
        <is>
          <t>2027-03-18</t>
        </is>
      </c>
      <c r="C168" s="19">
        <f>F167</f>
        <v/>
      </c>
      <c r="D168" s="19">
        <f>MAX(0,C168*$B$97/12)</f>
        <v/>
      </c>
      <c r="E168" s="19">
        <f>MAX(0,MIN(C168,$B$99-D168))</f>
        <v/>
      </c>
      <c r="F168" s="19">
        <f>MAX(0,C168-E168)</f>
        <v/>
      </c>
    </row>
    <row r="169">
      <c r="A169" s="44" t="n">
        <v>62</v>
      </c>
      <c r="B169" s="44" t="inlineStr">
        <is>
          <t>2027-04-18</t>
        </is>
      </c>
      <c r="C169" s="45">
        <f>F168</f>
        <v/>
      </c>
      <c r="D169" s="45">
        <f>MAX(0,C169*$B$97/12)</f>
        <v/>
      </c>
      <c r="E169" s="45">
        <f>MAX(0,MIN(C169,$B$99-D169))</f>
        <v/>
      </c>
      <c r="F169" s="45">
        <f>MAX(0,C169-E169)</f>
        <v/>
      </c>
    </row>
    <row r="170">
      <c r="A170" s="43" t="n">
        <v>63</v>
      </c>
      <c r="B170" s="43" t="inlineStr">
        <is>
          <t>2027-05-18</t>
        </is>
      </c>
      <c r="C170" s="19">
        <f>F169</f>
        <v/>
      </c>
      <c r="D170" s="19">
        <f>MAX(0,C170*$B$97/12)</f>
        <v/>
      </c>
      <c r="E170" s="19">
        <f>MAX(0,MIN(C170,$B$99-D170))</f>
        <v/>
      </c>
      <c r="F170" s="19">
        <f>MAX(0,C170-E170)</f>
        <v/>
      </c>
    </row>
    <row r="171">
      <c r="A171" s="44" t="n">
        <v>64</v>
      </c>
      <c r="B171" s="44" t="inlineStr">
        <is>
          <t>2027-06-18</t>
        </is>
      </c>
      <c r="C171" s="45">
        <f>F170</f>
        <v/>
      </c>
      <c r="D171" s="45">
        <f>MAX(0,C171*$B$97/12)</f>
        <v/>
      </c>
      <c r="E171" s="45">
        <f>MAX(0,MIN(C171,$B$99-D171))</f>
        <v/>
      </c>
      <c r="F171" s="45">
        <f>MAX(0,C171-E171)</f>
        <v/>
      </c>
    </row>
    <row r="172">
      <c r="A172" s="43" t="n">
        <v>65</v>
      </c>
      <c r="B172" s="43" t="inlineStr">
        <is>
          <t>2027-07-18</t>
        </is>
      </c>
      <c r="C172" s="19">
        <f>F171</f>
        <v/>
      </c>
      <c r="D172" s="19">
        <f>MAX(0,C172*$B$97/12)</f>
        <v/>
      </c>
      <c r="E172" s="19">
        <f>MAX(0,MIN(C172,$B$99-D172))</f>
        <v/>
      </c>
      <c r="F172" s="19">
        <f>MAX(0,C172-E172)</f>
        <v/>
      </c>
    </row>
    <row r="173">
      <c r="A173" s="44" t="n">
        <v>66</v>
      </c>
      <c r="B173" s="44" t="inlineStr">
        <is>
          <t>2027-08-18</t>
        </is>
      </c>
      <c r="C173" s="45">
        <f>F172</f>
        <v/>
      </c>
      <c r="D173" s="45">
        <f>MAX(0,C173*$B$97/12)</f>
        <v/>
      </c>
      <c r="E173" s="45">
        <f>MAX(0,MIN(C173,$B$99-D173))</f>
        <v/>
      </c>
      <c r="F173" s="45">
        <f>MAX(0,C173-E173)</f>
        <v/>
      </c>
    </row>
    <row r="174">
      <c r="A174" s="43" t="n">
        <v>67</v>
      </c>
      <c r="B174" s="43" t="inlineStr">
        <is>
          <t>2027-09-18</t>
        </is>
      </c>
      <c r="C174" s="19">
        <f>F173</f>
        <v/>
      </c>
      <c r="D174" s="19">
        <f>MAX(0,C174*$B$97/12)</f>
        <v/>
      </c>
      <c r="E174" s="19">
        <f>MAX(0,MIN(C174,$B$99-D174))</f>
        <v/>
      </c>
      <c r="F174" s="19">
        <f>MAX(0,C174-E174)</f>
        <v/>
      </c>
    </row>
    <row r="175">
      <c r="A175" s="44" t="n">
        <v>68</v>
      </c>
      <c r="B175" s="44" t="inlineStr">
        <is>
          <t>2027-10-18</t>
        </is>
      </c>
      <c r="C175" s="45">
        <f>F174</f>
        <v/>
      </c>
      <c r="D175" s="45">
        <f>MAX(0,C175*$B$97/12)</f>
        <v/>
      </c>
      <c r="E175" s="45">
        <f>MAX(0,MIN(C175,$B$99-D175))</f>
        <v/>
      </c>
      <c r="F175" s="45">
        <f>MAX(0,C175-E175)</f>
        <v/>
      </c>
    </row>
    <row r="176">
      <c r="A176" s="43" t="n">
        <v>69</v>
      </c>
      <c r="B176" s="43" t="inlineStr">
        <is>
          <t>2027-11-18</t>
        </is>
      </c>
      <c r="C176" s="19">
        <f>F175</f>
        <v/>
      </c>
      <c r="D176" s="19">
        <f>MAX(0,C176*$B$97/12)</f>
        <v/>
      </c>
      <c r="E176" s="19">
        <f>MAX(0,MIN(C176,$B$99-D176))</f>
        <v/>
      </c>
      <c r="F176" s="19">
        <f>MAX(0,C176-E176)</f>
        <v/>
      </c>
    </row>
    <row r="177">
      <c r="A177" s="44" t="n">
        <v>70</v>
      </c>
      <c r="B177" s="44" t="inlineStr">
        <is>
          <t>2027-12-18</t>
        </is>
      </c>
      <c r="C177" s="45">
        <f>F176</f>
        <v/>
      </c>
      <c r="D177" s="45">
        <f>MAX(0,C177*$B$97/12)</f>
        <v/>
      </c>
      <c r="E177" s="45">
        <f>MAX(0,MIN(C177,$B$99-D177))</f>
        <v/>
      </c>
      <c r="F177" s="45">
        <f>MAX(0,C177-E177)</f>
        <v/>
      </c>
    </row>
    <row r="178">
      <c r="A178" s="43" t="n">
        <v>71</v>
      </c>
      <c r="B178" s="43" t="inlineStr">
        <is>
          <t>2028-01-18</t>
        </is>
      </c>
      <c r="C178" s="19">
        <f>F177</f>
        <v/>
      </c>
      <c r="D178" s="19">
        <f>MAX(0,C178*$B$97/12)</f>
        <v/>
      </c>
      <c r="E178" s="19">
        <f>MAX(0,MIN(C178,$B$99-D178))</f>
        <v/>
      </c>
      <c r="F178" s="19">
        <f>MAX(0,C178-E178)</f>
        <v/>
      </c>
    </row>
    <row r="179">
      <c r="A179" s="44" t="n">
        <v>72</v>
      </c>
      <c r="B179" s="44" t="inlineStr">
        <is>
          <t>2028-02-18</t>
        </is>
      </c>
      <c r="C179" s="45">
        <f>F178</f>
        <v/>
      </c>
      <c r="D179" s="45">
        <f>MAX(0,C179*$B$97/12)</f>
        <v/>
      </c>
      <c r="E179" s="45">
        <f>MAX(0,MIN(C179,$B$99-D179))</f>
        <v/>
      </c>
      <c r="F179" s="45">
        <f>MAX(0,C179-E179)</f>
        <v/>
      </c>
    </row>
    <row r="180">
      <c r="A180" s="43" t="n">
        <v>73</v>
      </c>
      <c r="B180" s="43" t="inlineStr">
        <is>
          <t>2028-03-18</t>
        </is>
      </c>
      <c r="C180" s="19">
        <f>F179</f>
        <v/>
      </c>
      <c r="D180" s="19">
        <f>MAX(0,C180*$B$97/12)</f>
        <v/>
      </c>
      <c r="E180" s="19">
        <f>MAX(0,MIN(C180,$B$99-D180))</f>
        <v/>
      </c>
      <c r="F180" s="19">
        <f>MAX(0,C180-E180)</f>
        <v/>
      </c>
    </row>
    <row r="181">
      <c r="A181" s="44" t="n">
        <v>74</v>
      </c>
      <c r="B181" s="44" t="inlineStr">
        <is>
          <t>2028-04-18</t>
        </is>
      </c>
      <c r="C181" s="45">
        <f>F180</f>
        <v/>
      </c>
      <c r="D181" s="45">
        <f>MAX(0,C181*$B$97/12)</f>
        <v/>
      </c>
      <c r="E181" s="45">
        <f>MAX(0,MIN(C181,$B$99-D181))</f>
        <v/>
      </c>
      <c r="F181" s="45">
        <f>MAX(0,C181-E181)</f>
        <v/>
      </c>
    </row>
    <row r="182">
      <c r="A182" s="43" t="n">
        <v>75</v>
      </c>
      <c r="B182" s="43" t="inlineStr">
        <is>
          <t>2028-05-18</t>
        </is>
      </c>
      <c r="C182" s="19">
        <f>F181</f>
        <v/>
      </c>
      <c r="D182" s="19">
        <f>MAX(0,C182*$B$97/12)</f>
        <v/>
      </c>
      <c r="E182" s="19">
        <f>MAX(0,MIN(C182,$B$99-D182))</f>
        <v/>
      </c>
      <c r="F182" s="19">
        <f>MAX(0,C182-E182)</f>
        <v/>
      </c>
    </row>
    <row r="183">
      <c r="A183" s="44" t="n">
        <v>76</v>
      </c>
      <c r="B183" s="44" t="inlineStr">
        <is>
          <t>2028-06-18</t>
        </is>
      </c>
      <c r="C183" s="45">
        <f>F182</f>
        <v/>
      </c>
      <c r="D183" s="45">
        <f>MAX(0,C183*$B$97/12)</f>
        <v/>
      </c>
      <c r="E183" s="45">
        <f>MAX(0,MIN(C183,$B$99-D183))</f>
        <v/>
      </c>
      <c r="F183" s="45">
        <f>MAX(0,C183-E183)</f>
        <v/>
      </c>
    </row>
    <row r="184">
      <c r="A184" s="43" t="n">
        <v>77</v>
      </c>
      <c r="B184" s="43" t="inlineStr">
        <is>
          <t>2028-07-18</t>
        </is>
      </c>
      <c r="C184" s="19">
        <f>F183</f>
        <v/>
      </c>
      <c r="D184" s="19">
        <f>MAX(0,C184*$B$97/12)</f>
        <v/>
      </c>
      <c r="E184" s="19">
        <f>MAX(0,MIN(C184,$B$99-D184))</f>
        <v/>
      </c>
      <c r="F184" s="19">
        <f>MAX(0,C184-E184)</f>
        <v/>
      </c>
    </row>
    <row r="185">
      <c r="A185" s="44" t="n">
        <v>78</v>
      </c>
      <c r="B185" s="44" t="inlineStr">
        <is>
          <t>2028-08-18</t>
        </is>
      </c>
      <c r="C185" s="45">
        <f>F184</f>
        <v/>
      </c>
      <c r="D185" s="45">
        <f>MAX(0,C185*$B$97/12)</f>
        <v/>
      </c>
      <c r="E185" s="45">
        <f>MAX(0,MIN(C185,$B$99-D185))</f>
        <v/>
      </c>
      <c r="F185" s="45">
        <f>MAX(0,C185-E185)</f>
        <v/>
      </c>
    </row>
    <row r="186">
      <c r="A186" s="43" t="n">
        <v>79</v>
      </c>
      <c r="B186" s="43" t="inlineStr">
        <is>
          <t>2028-09-18</t>
        </is>
      </c>
      <c r="C186" s="19">
        <f>F185</f>
        <v/>
      </c>
      <c r="D186" s="19">
        <f>MAX(0,C186*$B$97/12)</f>
        <v/>
      </c>
      <c r="E186" s="19">
        <f>MAX(0,MIN(C186,$B$99-D186))</f>
        <v/>
      </c>
      <c r="F186" s="19">
        <f>MAX(0,C186-E186)</f>
        <v/>
      </c>
    </row>
    <row r="187">
      <c r="A187" s="44" t="n">
        <v>80</v>
      </c>
      <c r="B187" s="44" t="inlineStr">
        <is>
          <t>2028-10-18</t>
        </is>
      </c>
      <c r="C187" s="45">
        <f>F186</f>
        <v/>
      </c>
      <c r="D187" s="45">
        <f>MAX(0,C187*$B$97/12)</f>
        <v/>
      </c>
      <c r="E187" s="45">
        <f>MAX(0,MIN(C187,$B$99-D187))</f>
        <v/>
      </c>
      <c r="F187" s="45">
        <f>MAX(0,C187-E187)</f>
        <v/>
      </c>
    </row>
    <row r="188">
      <c r="A188" s="43" t="n">
        <v>81</v>
      </c>
      <c r="B188" s="43" t="inlineStr">
        <is>
          <t>2028-11-18</t>
        </is>
      </c>
      <c r="C188" s="19">
        <f>F187</f>
        <v/>
      </c>
      <c r="D188" s="19">
        <f>MAX(0,C188*$B$97/12)</f>
        <v/>
      </c>
      <c r="E188" s="19">
        <f>MAX(0,MIN(C188,$B$99-D188))</f>
        <v/>
      </c>
      <c r="F188" s="19">
        <f>MAX(0,C188-E188)</f>
        <v/>
      </c>
    </row>
    <row r="189">
      <c r="A189" s="44" t="n">
        <v>82</v>
      </c>
      <c r="B189" s="44" t="inlineStr">
        <is>
          <t>2028-12-18</t>
        </is>
      </c>
      <c r="C189" s="45">
        <f>F188</f>
        <v/>
      </c>
      <c r="D189" s="45">
        <f>MAX(0,C189*$B$97/12)</f>
        <v/>
      </c>
      <c r="E189" s="45">
        <f>MAX(0,MIN(C189,$B$99-D189))</f>
        <v/>
      </c>
      <c r="F189" s="45">
        <f>MAX(0,C189-E189)</f>
        <v/>
      </c>
    </row>
    <row r="190">
      <c r="A190" s="43" t="n">
        <v>83</v>
      </c>
      <c r="B190" s="43" t="inlineStr">
        <is>
          <t>2029-01-18</t>
        </is>
      </c>
      <c r="C190" s="19">
        <f>F189</f>
        <v/>
      </c>
      <c r="D190" s="19">
        <f>MAX(0,C190*$B$97/12)</f>
        <v/>
      </c>
      <c r="E190" s="19">
        <f>MAX(0,MIN(C190,$B$99-D190))</f>
        <v/>
      </c>
      <c r="F190" s="19">
        <f>MAX(0,C190-E190)</f>
        <v/>
      </c>
    </row>
    <row r="191">
      <c r="A191" s="44" t="n">
        <v>84</v>
      </c>
      <c r="B191" s="44" t="inlineStr">
        <is>
          <t>2029-02-18</t>
        </is>
      </c>
      <c r="C191" s="45">
        <f>F190</f>
        <v/>
      </c>
      <c r="D191" s="45">
        <f>MAX(0,C191*$B$97/12)</f>
        <v/>
      </c>
      <c r="E191" s="45">
        <f>MAX(0,MIN(C191,$B$99-D191))</f>
        <v/>
      </c>
      <c r="F191" s="45">
        <f>MAX(0,C191-E191)</f>
        <v/>
      </c>
    </row>
    <row r="192">
      <c r="A192" s="62" t="inlineStr">
        <is>
          <t>TOTALS</t>
        </is>
      </c>
      <c r="B192" s="63" t="n"/>
      <c r="C192" s="63" t="n"/>
      <c r="D192" s="64">
        <f>SUM(D108:D191)</f>
        <v/>
      </c>
      <c r="E192" s="64">
        <f>SUM(E108:E191)</f>
        <v/>
      </c>
      <c r="F192" s="63" t="n"/>
    </row>
    <row r="195">
      <c r="A195" s="15" t="inlineStr">
        <is>
          <t>LOAN 3: 1 T880 DC &amp; 3 T680 Slprs (May 2022)</t>
        </is>
      </c>
    </row>
    <row r="196">
      <c r="A196" s="20" t="inlineStr">
        <is>
          <t>Loan ID:</t>
        </is>
      </c>
      <c r="B196" s="2" t="inlineStr">
        <is>
          <t>05-2961-003-000-00</t>
        </is>
      </c>
    </row>
    <row r="197">
      <c r="A197" s="20" t="inlineStr">
        <is>
          <t>Account:</t>
        </is>
      </c>
      <c r="B197" s="2" t="inlineStr">
        <is>
          <t>101-0014230-005</t>
        </is>
      </c>
    </row>
    <row r="198">
      <c r="A198" s="20" t="inlineStr">
        <is>
          <t>Opening Balance:</t>
        </is>
      </c>
      <c r="B198" s="3" t="n">
        <v>626090</v>
      </c>
    </row>
    <row r="199">
      <c r="A199" s="20" t="inlineStr">
        <is>
          <t>Annual Rate:</t>
        </is>
      </c>
      <c r="B199" s="4" t="n">
        <v>0.0414</v>
      </c>
    </row>
    <row r="200">
      <c r="A200" s="20" t="inlineStr">
        <is>
          <t>Term Months:</t>
        </is>
      </c>
      <c r="B200" s="2" t="n">
        <v>66</v>
      </c>
    </row>
    <row r="201">
      <c r="A201" s="20" t="inlineStr">
        <is>
          <t>Monthly Payment:</t>
        </is>
      </c>
      <c r="B201" s="3" t="n">
        <v>8077.88</v>
      </c>
    </row>
    <row r="202">
      <c r="A202" s="20" t="inlineStr">
        <is>
          <t>Loan Type:</t>
        </is>
      </c>
      <c r="B202" t="inlineStr">
        <is>
          <t>AMORTIZING</t>
        </is>
      </c>
    </row>
    <row r="203">
      <c r="A203" s="20" t="inlineStr">
        <is>
          <t>Use:</t>
        </is>
      </c>
      <c r="B203" t="inlineStr">
        <is>
          <t>Equipment (Semi trucks - 1 T880 DC &amp; 3 T680 Slprs)</t>
        </is>
      </c>
    </row>
    <row r="204">
      <c r="A204" s="20" t="inlineStr">
        <is>
          <t>Maturity Date:</t>
        </is>
      </c>
      <c r="B204" s="2" t="inlineStr">
        <is>
          <t>2027-11-03</t>
        </is>
      </c>
    </row>
    <row r="205">
      <c r="A205" s="17" t="inlineStr">
        <is>
          <t>AI ANALYSIS</t>
        </is>
      </c>
      <c r="B205" s="6" t="n"/>
      <c r="C205" s="6" t="n"/>
      <c r="D205" s="6" t="n"/>
      <c r="E205" s="6" t="n"/>
      <c r="F205" s="6" t="n"/>
    </row>
    <row r="206">
      <c r="A206" s="6" t="inlineStr">
        <is>
          <t>Classification:</t>
        </is>
      </c>
      <c r="B206" s="6" t="inlineStr">
        <is>
          <t>Standard equipment term loan with fixed monthly P&amp;I payments</t>
        </is>
      </c>
    </row>
    <row r="207">
      <c r="A207" s="6" t="inlineStr">
        <is>
          <t>Amortization:</t>
        </is>
      </c>
      <c r="B207" s="6" t="inlineStr">
        <is>
          <t>Fully amortizing over 66 months, no balloon payment</t>
        </is>
      </c>
    </row>
    <row r="209">
      <c r="A209" s="23" t="inlineStr">
        <is>
          <t>Month #</t>
        </is>
      </c>
      <c r="B209" s="23" t="inlineStr">
        <is>
          <t>Date</t>
        </is>
      </c>
      <c r="C209" s="23" t="inlineStr">
        <is>
          <t>Opening Balance</t>
        </is>
      </c>
      <c r="D209" s="23" t="inlineStr">
        <is>
          <t>Interest</t>
        </is>
      </c>
      <c r="E209" s="23" t="inlineStr">
        <is>
          <t>Principal</t>
        </is>
      </c>
      <c r="F209" s="23" t="inlineStr">
        <is>
          <t>Closing Balance</t>
        </is>
      </c>
    </row>
    <row r="210">
      <c r="A210" s="43" t="n">
        <v>1</v>
      </c>
      <c r="B210" s="43" t="inlineStr">
        <is>
          <t>2022-05-03</t>
        </is>
      </c>
      <c r="C210" s="19">
        <f>B198</f>
        <v/>
      </c>
      <c r="D210" s="19">
        <f>MAX(0,C210*$B$199/12)</f>
        <v/>
      </c>
      <c r="E210" s="19">
        <f>MAX(0,MIN(C210,$B$201-D210))</f>
        <v/>
      </c>
      <c r="F210" s="19">
        <f>MAX(0,C210-E210)</f>
        <v/>
      </c>
    </row>
    <row r="211">
      <c r="A211" s="44" t="n">
        <v>2</v>
      </c>
      <c r="B211" s="44" t="inlineStr">
        <is>
          <t>2022-06-03</t>
        </is>
      </c>
      <c r="C211" s="45">
        <f>F210</f>
        <v/>
      </c>
      <c r="D211" s="45">
        <f>MAX(0,C211*$B$199/12)</f>
        <v/>
      </c>
      <c r="E211" s="45">
        <f>MAX(0,MIN(C211,$B$201-D211))</f>
        <v/>
      </c>
      <c r="F211" s="45">
        <f>MAX(0,C211-E211)</f>
        <v/>
      </c>
    </row>
    <row r="212">
      <c r="A212" s="43" t="n">
        <v>3</v>
      </c>
      <c r="B212" s="43" t="inlineStr">
        <is>
          <t>2022-07-03</t>
        </is>
      </c>
      <c r="C212" s="19">
        <f>F211</f>
        <v/>
      </c>
      <c r="D212" s="19">
        <f>MAX(0,C212*$B$199/12)</f>
        <v/>
      </c>
      <c r="E212" s="19">
        <f>MAX(0,MIN(C212,$B$201-D212))</f>
        <v/>
      </c>
      <c r="F212" s="19">
        <f>MAX(0,C212-E212)</f>
        <v/>
      </c>
    </row>
    <row r="213">
      <c r="A213" s="44" t="n">
        <v>4</v>
      </c>
      <c r="B213" s="44" t="inlineStr">
        <is>
          <t>2022-08-03</t>
        </is>
      </c>
      <c r="C213" s="45">
        <f>F212</f>
        <v/>
      </c>
      <c r="D213" s="45">
        <f>MAX(0,C213*$B$199/12)</f>
        <v/>
      </c>
      <c r="E213" s="45">
        <f>MAX(0,MIN(C213,$B$201-D213))</f>
        <v/>
      </c>
      <c r="F213" s="45">
        <f>MAX(0,C213-E213)</f>
        <v/>
      </c>
    </row>
    <row r="214">
      <c r="A214" s="43" t="n">
        <v>5</v>
      </c>
      <c r="B214" s="43" t="inlineStr">
        <is>
          <t>2022-09-03</t>
        </is>
      </c>
      <c r="C214" s="19">
        <f>F213</f>
        <v/>
      </c>
      <c r="D214" s="19">
        <f>MAX(0,C214*$B$199/12)</f>
        <v/>
      </c>
      <c r="E214" s="19">
        <f>MAX(0,MIN(C214,$B$201-D214))</f>
        <v/>
      </c>
      <c r="F214" s="19">
        <f>MAX(0,C214-E214)</f>
        <v/>
      </c>
    </row>
    <row r="215">
      <c r="A215" s="44" t="n">
        <v>6</v>
      </c>
      <c r="B215" s="44" t="inlineStr">
        <is>
          <t>2022-10-03</t>
        </is>
      </c>
      <c r="C215" s="45">
        <f>F214</f>
        <v/>
      </c>
      <c r="D215" s="45">
        <f>MAX(0,C215*$B$199/12)</f>
        <v/>
      </c>
      <c r="E215" s="45">
        <f>MAX(0,MIN(C215,$B$201-D215))</f>
        <v/>
      </c>
      <c r="F215" s="45">
        <f>MAX(0,C215-E215)</f>
        <v/>
      </c>
    </row>
    <row r="216">
      <c r="A216" s="43" t="n">
        <v>7</v>
      </c>
      <c r="B216" s="43" t="inlineStr">
        <is>
          <t>2022-11-03</t>
        </is>
      </c>
      <c r="C216" s="19">
        <f>F215</f>
        <v/>
      </c>
      <c r="D216" s="19">
        <f>MAX(0,C216*$B$199/12)</f>
        <v/>
      </c>
      <c r="E216" s="19">
        <f>MAX(0,MIN(C216,$B$201-D216))</f>
        <v/>
      </c>
      <c r="F216" s="19">
        <f>MAX(0,C216-E216)</f>
        <v/>
      </c>
    </row>
    <row r="217">
      <c r="A217" s="44" t="n">
        <v>8</v>
      </c>
      <c r="B217" s="44" t="inlineStr">
        <is>
          <t>2022-12-03</t>
        </is>
      </c>
      <c r="C217" s="45">
        <f>F216</f>
        <v/>
      </c>
      <c r="D217" s="45">
        <f>MAX(0,C217*$B$199/12)</f>
        <v/>
      </c>
      <c r="E217" s="45">
        <f>MAX(0,MIN(C217,$B$201-D217))</f>
        <v/>
      </c>
      <c r="F217" s="45">
        <f>MAX(0,C217-E217)</f>
        <v/>
      </c>
    </row>
    <row r="218">
      <c r="A218" s="43" t="n">
        <v>9</v>
      </c>
      <c r="B218" s="43" t="inlineStr">
        <is>
          <t>2023-01-03</t>
        </is>
      </c>
      <c r="C218" s="19">
        <f>F217</f>
        <v/>
      </c>
      <c r="D218" s="19">
        <f>MAX(0,C218*$B$199/12)</f>
        <v/>
      </c>
      <c r="E218" s="19">
        <f>MAX(0,MIN(C218,$B$201-D218))</f>
        <v/>
      </c>
      <c r="F218" s="19">
        <f>MAX(0,C218-E218)</f>
        <v/>
      </c>
    </row>
    <row r="219">
      <c r="A219" s="44" t="n">
        <v>10</v>
      </c>
      <c r="B219" s="44" t="inlineStr">
        <is>
          <t>2023-02-03</t>
        </is>
      </c>
      <c r="C219" s="45">
        <f>F218</f>
        <v/>
      </c>
      <c r="D219" s="45">
        <f>MAX(0,C219*$B$199/12)</f>
        <v/>
      </c>
      <c r="E219" s="45">
        <f>MAX(0,MIN(C219,$B$201-D219))</f>
        <v/>
      </c>
      <c r="F219" s="45">
        <f>MAX(0,C219-E219)</f>
        <v/>
      </c>
    </row>
    <row r="220">
      <c r="A220" s="43" t="n">
        <v>11</v>
      </c>
      <c r="B220" s="43" t="inlineStr">
        <is>
          <t>2023-03-03</t>
        </is>
      </c>
      <c r="C220" s="19">
        <f>F219</f>
        <v/>
      </c>
      <c r="D220" s="19">
        <f>MAX(0,C220*$B$199/12)</f>
        <v/>
      </c>
      <c r="E220" s="19">
        <f>MAX(0,MIN(C220,$B$201-D220))</f>
        <v/>
      </c>
      <c r="F220" s="19">
        <f>MAX(0,C220-E220)</f>
        <v/>
      </c>
    </row>
    <row r="221">
      <c r="A221" s="44" t="n">
        <v>12</v>
      </c>
      <c r="B221" s="44" t="inlineStr">
        <is>
          <t>2023-04-03</t>
        </is>
      </c>
      <c r="C221" s="45">
        <f>F220</f>
        <v/>
      </c>
      <c r="D221" s="45">
        <f>MAX(0,C221*$B$199/12)</f>
        <v/>
      </c>
      <c r="E221" s="45">
        <f>MAX(0,MIN(C221,$B$201-D221))</f>
        <v/>
      </c>
      <c r="F221" s="45">
        <f>MAX(0,C221-E221)</f>
        <v/>
      </c>
    </row>
    <row r="222">
      <c r="A222" s="43" t="n">
        <v>13</v>
      </c>
      <c r="B222" s="43" t="inlineStr">
        <is>
          <t>2023-05-03</t>
        </is>
      </c>
      <c r="C222" s="19">
        <f>F221</f>
        <v/>
      </c>
      <c r="D222" s="19">
        <f>MAX(0,C222*$B$199/12)</f>
        <v/>
      </c>
      <c r="E222" s="19">
        <f>MAX(0,MIN(C222,$B$201-D222))</f>
        <v/>
      </c>
      <c r="F222" s="19">
        <f>MAX(0,C222-E222)</f>
        <v/>
      </c>
    </row>
    <row r="223">
      <c r="A223" s="44" t="n">
        <v>14</v>
      </c>
      <c r="B223" s="44" t="inlineStr">
        <is>
          <t>2023-06-03</t>
        </is>
      </c>
      <c r="C223" s="45">
        <f>F222</f>
        <v/>
      </c>
      <c r="D223" s="45">
        <f>MAX(0,C223*$B$199/12)</f>
        <v/>
      </c>
      <c r="E223" s="45">
        <f>MAX(0,MIN(C223,$B$201-D223))</f>
        <v/>
      </c>
      <c r="F223" s="45">
        <f>MAX(0,C223-E223)</f>
        <v/>
      </c>
    </row>
    <row r="224">
      <c r="A224" s="43" t="n">
        <v>15</v>
      </c>
      <c r="B224" s="43" t="inlineStr">
        <is>
          <t>2023-07-03</t>
        </is>
      </c>
      <c r="C224" s="19">
        <f>F223</f>
        <v/>
      </c>
      <c r="D224" s="19">
        <f>MAX(0,C224*$B$199/12)</f>
        <v/>
      </c>
      <c r="E224" s="19">
        <f>MAX(0,MIN(C224,$B$201-D224))</f>
        <v/>
      </c>
      <c r="F224" s="19">
        <f>MAX(0,C224-E224)</f>
        <v/>
      </c>
    </row>
    <row r="225">
      <c r="A225" s="44" t="n">
        <v>16</v>
      </c>
      <c r="B225" s="44" t="inlineStr">
        <is>
          <t>2023-08-03</t>
        </is>
      </c>
      <c r="C225" s="45">
        <f>F224</f>
        <v/>
      </c>
      <c r="D225" s="45">
        <f>MAX(0,C225*$B$199/12)</f>
        <v/>
      </c>
      <c r="E225" s="45">
        <f>MAX(0,MIN(C225,$B$201-D225))</f>
        <v/>
      </c>
      <c r="F225" s="45">
        <f>MAX(0,C225-E225)</f>
        <v/>
      </c>
    </row>
    <row r="226">
      <c r="A226" s="43" t="n">
        <v>17</v>
      </c>
      <c r="B226" s="43" t="inlineStr">
        <is>
          <t>2023-09-03</t>
        </is>
      </c>
      <c r="C226" s="19">
        <f>F225</f>
        <v/>
      </c>
      <c r="D226" s="19">
        <f>MAX(0,C226*$B$199/12)</f>
        <v/>
      </c>
      <c r="E226" s="19">
        <f>MAX(0,MIN(C226,$B$201-D226))</f>
        <v/>
      </c>
      <c r="F226" s="19">
        <f>MAX(0,C226-E226)</f>
        <v/>
      </c>
    </row>
    <row r="227">
      <c r="A227" s="44" t="n">
        <v>18</v>
      </c>
      <c r="B227" s="44" t="inlineStr">
        <is>
          <t>2023-10-03</t>
        </is>
      </c>
      <c r="C227" s="45">
        <f>F226</f>
        <v/>
      </c>
      <c r="D227" s="45">
        <f>MAX(0,C227*$B$199/12)</f>
        <v/>
      </c>
      <c r="E227" s="45">
        <f>MAX(0,MIN(C227,$B$201-D227))</f>
        <v/>
      </c>
      <c r="F227" s="45">
        <f>MAX(0,C227-E227)</f>
        <v/>
      </c>
    </row>
    <row r="228">
      <c r="A228" s="43" t="n">
        <v>19</v>
      </c>
      <c r="B228" s="43" t="inlineStr">
        <is>
          <t>2023-11-03</t>
        </is>
      </c>
      <c r="C228" s="19">
        <f>F227</f>
        <v/>
      </c>
      <c r="D228" s="19">
        <f>MAX(0,C228*$B$199/12)</f>
        <v/>
      </c>
      <c r="E228" s="19">
        <f>MAX(0,MIN(C228,$B$201-D228))</f>
        <v/>
      </c>
      <c r="F228" s="19">
        <f>MAX(0,C228-E228)</f>
        <v/>
      </c>
    </row>
    <row r="229">
      <c r="A229" s="44" t="n">
        <v>20</v>
      </c>
      <c r="B229" s="44" t="inlineStr">
        <is>
          <t>2023-12-03</t>
        </is>
      </c>
      <c r="C229" s="45">
        <f>F228</f>
        <v/>
      </c>
      <c r="D229" s="45">
        <f>MAX(0,C229*$B$199/12)</f>
        <v/>
      </c>
      <c r="E229" s="45">
        <f>MAX(0,MIN(C229,$B$201-D229))</f>
        <v/>
      </c>
      <c r="F229" s="45">
        <f>MAX(0,C229-E229)</f>
        <v/>
      </c>
    </row>
    <row r="230">
      <c r="A230" s="43" t="n">
        <v>21</v>
      </c>
      <c r="B230" s="43" t="inlineStr">
        <is>
          <t>2024-01-03</t>
        </is>
      </c>
      <c r="C230" s="19">
        <f>F229</f>
        <v/>
      </c>
      <c r="D230" s="19">
        <f>MAX(0,C230*$B$199/12)</f>
        <v/>
      </c>
      <c r="E230" s="19">
        <f>MAX(0,MIN(C230,$B$201-D230))</f>
        <v/>
      </c>
      <c r="F230" s="19">
        <f>MAX(0,C230-E230)</f>
        <v/>
      </c>
    </row>
    <row r="231">
      <c r="A231" s="44" t="n">
        <v>22</v>
      </c>
      <c r="B231" s="44" t="inlineStr">
        <is>
          <t>2024-02-03</t>
        </is>
      </c>
      <c r="C231" s="45">
        <f>F230</f>
        <v/>
      </c>
      <c r="D231" s="45">
        <f>MAX(0,C231*$B$199/12)</f>
        <v/>
      </c>
      <c r="E231" s="45">
        <f>MAX(0,MIN(C231,$B$201-D231))</f>
        <v/>
      </c>
      <c r="F231" s="45">
        <f>MAX(0,C231-E231)</f>
        <v/>
      </c>
    </row>
    <row r="232">
      <c r="A232" s="43" t="n">
        <v>23</v>
      </c>
      <c r="B232" s="43" t="inlineStr">
        <is>
          <t>2024-03-03</t>
        </is>
      </c>
      <c r="C232" s="19">
        <f>F231</f>
        <v/>
      </c>
      <c r="D232" s="19">
        <f>MAX(0,C232*$B$199/12)</f>
        <v/>
      </c>
      <c r="E232" s="19">
        <f>MAX(0,MIN(C232,$B$201-D232))</f>
        <v/>
      </c>
      <c r="F232" s="19">
        <f>MAX(0,C232-E232)</f>
        <v/>
      </c>
    </row>
    <row r="233">
      <c r="A233" s="44" t="n">
        <v>24</v>
      </c>
      <c r="B233" s="44" t="inlineStr">
        <is>
          <t>2024-04-03</t>
        </is>
      </c>
      <c r="C233" s="45">
        <f>F232</f>
        <v/>
      </c>
      <c r="D233" s="45">
        <f>MAX(0,C233*$B$199/12)</f>
        <v/>
      </c>
      <c r="E233" s="45">
        <f>MAX(0,MIN(C233,$B$201-D233))</f>
        <v/>
      </c>
      <c r="F233" s="45">
        <f>MAX(0,C233-E233)</f>
        <v/>
      </c>
    </row>
    <row r="234">
      <c r="A234" s="43" t="n">
        <v>25</v>
      </c>
      <c r="B234" s="43" t="inlineStr">
        <is>
          <t>2024-05-03</t>
        </is>
      </c>
      <c r="C234" s="19">
        <f>F233</f>
        <v/>
      </c>
      <c r="D234" s="19">
        <f>MAX(0,C234*$B$199/12)</f>
        <v/>
      </c>
      <c r="E234" s="19">
        <f>MAX(0,MIN(C234,$B$201-D234))</f>
        <v/>
      </c>
      <c r="F234" s="19">
        <f>MAX(0,C234-E234)</f>
        <v/>
      </c>
    </row>
    <row r="235">
      <c r="A235" s="44" t="n">
        <v>26</v>
      </c>
      <c r="B235" s="44" t="inlineStr">
        <is>
          <t>2024-06-03</t>
        </is>
      </c>
      <c r="C235" s="45">
        <f>F234</f>
        <v/>
      </c>
      <c r="D235" s="45">
        <f>MAX(0,C235*$B$199/12)</f>
        <v/>
      </c>
      <c r="E235" s="45">
        <f>MAX(0,MIN(C235,$B$201-D235))</f>
        <v/>
      </c>
      <c r="F235" s="45">
        <f>MAX(0,C235-E235)</f>
        <v/>
      </c>
    </row>
    <row r="236">
      <c r="A236" s="43" t="n">
        <v>27</v>
      </c>
      <c r="B236" s="43" t="inlineStr">
        <is>
          <t>2024-07-03</t>
        </is>
      </c>
      <c r="C236" s="19">
        <f>F235</f>
        <v/>
      </c>
      <c r="D236" s="19">
        <f>MAX(0,C236*$B$199/12)</f>
        <v/>
      </c>
      <c r="E236" s="19">
        <f>MAX(0,MIN(C236,$B$201-D236))</f>
        <v/>
      </c>
      <c r="F236" s="19">
        <f>MAX(0,C236-E236)</f>
        <v/>
      </c>
    </row>
    <row r="237">
      <c r="A237" s="44" t="n">
        <v>28</v>
      </c>
      <c r="B237" s="44" t="inlineStr">
        <is>
          <t>2024-08-03</t>
        </is>
      </c>
      <c r="C237" s="45">
        <f>F236</f>
        <v/>
      </c>
      <c r="D237" s="45">
        <f>MAX(0,C237*$B$199/12)</f>
        <v/>
      </c>
      <c r="E237" s="45">
        <f>MAX(0,MIN(C237,$B$201-D237))</f>
        <v/>
      </c>
      <c r="F237" s="45">
        <f>MAX(0,C237-E237)</f>
        <v/>
      </c>
    </row>
    <row r="238">
      <c r="A238" s="43" t="n">
        <v>29</v>
      </c>
      <c r="B238" s="43" t="inlineStr">
        <is>
          <t>2024-09-03</t>
        </is>
      </c>
      <c r="C238" s="19">
        <f>F237</f>
        <v/>
      </c>
      <c r="D238" s="19">
        <f>MAX(0,C238*$B$199/12)</f>
        <v/>
      </c>
      <c r="E238" s="19">
        <f>MAX(0,MIN(C238,$B$201-D238))</f>
        <v/>
      </c>
      <c r="F238" s="19">
        <f>MAX(0,C238-E238)</f>
        <v/>
      </c>
    </row>
    <row r="239">
      <c r="A239" s="44" t="n">
        <v>30</v>
      </c>
      <c r="B239" s="44" t="inlineStr">
        <is>
          <t>2024-10-03</t>
        </is>
      </c>
      <c r="C239" s="45">
        <f>F238</f>
        <v/>
      </c>
      <c r="D239" s="45">
        <f>MAX(0,C239*$B$199/12)</f>
        <v/>
      </c>
      <c r="E239" s="45">
        <f>MAX(0,MIN(C239,$B$201-D239))</f>
        <v/>
      </c>
      <c r="F239" s="45">
        <f>MAX(0,C239-E239)</f>
        <v/>
      </c>
    </row>
    <row r="240">
      <c r="A240" s="43" t="n">
        <v>31</v>
      </c>
      <c r="B240" s="43" t="inlineStr">
        <is>
          <t>2024-11-03</t>
        </is>
      </c>
      <c r="C240" s="19">
        <f>F239</f>
        <v/>
      </c>
      <c r="D240" s="19">
        <f>MAX(0,C240*$B$199/12)</f>
        <v/>
      </c>
      <c r="E240" s="19">
        <f>MAX(0,MIN(C240,$B$201-D240))</f>
        <v/>
      </c>
      <c r="F240" s="19">
        <f>MAX(0,C240-E240)</f>
        <v/>
      </c>
    </row>
    <row r="241">
      <c r="A241" s="44" t="n">
        <v>32</v>
      </c>
      <c r="B241" s="44" t="inlineStr">
        <is>
          <t>2024-12-03</t>
        </is>
      </c>
      <c r="C241" s="45">
        <f>F240</f>
        <v/>
      </c>
      <c r="D241" s="45">
        <f>MAX(0,C241*$B$199/12)</f>
        <v/>
      </c>
      <c r="E241" s="45">
        <f>MAX(0,MIN(C241,$B$201-D241))</f>
        <v/>
      </c>
      <c r="F241" s="45">
        <f>MAX(0,C241-E241)</f>
        <v/>
      </c>
    </row>
    <row r="242">
      <c r="A242" s="43" t="n">
        <v>33</v>
      </c>
      <c r="B242" s="43" t="inlineStr">
        <is>
          <t>2025-01-03</t>
        </is>
      </c>
      <c r="C242" s="19">
        <f>F241</f>
        <v/>
      </c>
      <c r="D242" s="19">
        <f>MAX(0,C242*$B$199/12)</f>
        <v/>
      </c>
      <c r="E242" s="19">
        <f>MAX(0,MIN(C242,$B$201-D242))</f>
        <v/>
      </c>
      <c r="F242" s="19">
        <f>MAX(0,C242-E242)</f>
        <v/>
      </c>
    </row>
    <row r="243">
      <c r="A243" s="44" t="n">
        <v>34</v>
      </c>
      <c r="B243" s="44" t="inlineStr">
        <is>
          <t>2025-02-03</t>
        </is>
      </c>
      <c r="C243" s="45">
        <f>F242</f>
        <v/>
      </c>
      <c r="D243" s="45">
        <f>MAX(0,C243*$B$199/12)</f>
        <v/>
      </c>
      <c r="E243" s="45">
        <f>MAX(0,MIN(C243,$B$201-D243))</f>
        <v/>
      </c>
      <c r="F243" s="45">
        <f>MAX(0,C243-E243)</f>
        <v/>
      </c>
    </row>
    <row r="244">
      <c r="A244" s="43" t="n">
        <v>35</v>
      </c>
      <c r="B244" s="43" t="inlineStr">
        <is>
          <t>2025-03-03</t>
        </is>
      </c>
      <c r="C244" s="19">
        <f>F243</f>
        <v/>
      </c>
      <c r="D244" s="19">
        <f>MAX(0,C244*$B$199/12)</f>
        <v/>
      </c>
      <c r="E244" s="19">
        <f>MAX(0,MIN(C244,$B$201-D244))</f>
        <v/>
      </c>
      <c r="F244" s="19">
        <f>MAX(0,C244-E244)</f>
        <v/>
      </c>
    </row>
    <row r="245">
      <c r="A245" s="44" t="n">
        <v>36</v>
      </c>
      <c r="B245" s="44" t="inlineStr">
        <is>
          <t>2025-04-03</t>
        </is>
      </c>
      <c r="C245" s="45">
        <f>F244</f>
        <v/>
      </c>
      <c r="D245" s="45">
        <f>MAX(0,C245*$B$199/12)</f>
        <v/>
      </c>
      <c r="E245" s="45">
        <f>MAX(0,MIN(C245,$B$201-D245))</f>
        <v/>
      </c>
      <c r="F245" s="45">
        <f>MAX(0,C245-E245)</f>
        <v/>
      </c>
    </row>
    <row r="246">
      <c r="A246" s="43" t="n">
        <v>37</v>
      </c>
      <c r="B246" s="43" t="inlineStr">
        <is>
          <t>2025-05-03</t>
        </is>
      </c>
      <c r="C246" s="19">
        <f>F245</f>
        <v/>
      </c>
      <c r="D246" s="19">
        <f>MAX(0,C246*$B$199/12)</f>
        <v/>
      </c>
      <c r="E246" s="19">
        <f>MAX(0,MIN(C246,$B$201-D246))</f>
        <v/>
      </c>
      <c r="F246" s="19">
        <f>MAX(0,C246-E246)</f>
        <v/>
      </c>
    </row>
    <row r="247">
      <c r="A247" s="44" t="n">
        <v>38</v>
      </c>
      <c r="B247" s="44" t="inlineStr">
        <is>
          <t>2025-06-03</t>
        </is>
      </c>
      <c r="C247" s="45">
        <f>F246</f>
        <v/>
      </c>
      <c r="D247" s="45">
        <f>MAX(0,C247*$B$199/12)</f>
        <v/>
      </c>
      <c r="E247" s="45">
        <f>MAX(0,MIN(C247,$B$201-D247))</f>
        <v/>
      </c>
      <c r="F247" s="45">
        <f>MAX(0,C247-E247)</f>
        <v/>
      </c>
    </row>
    <row r="248">
      <c r="A248" s="43" t="n">
        <v>39</v>
      </c>
      <c r="B248" s="43" t="inlineStr">
        <is>
          <t>2025-07-03</t>
        </is>
      </c>
      <c r="C248" s="19">
        <f>F247</f>
        <v/>
      </c>
      <c r="D248" s="19">
        <f>MAX(0,C248*$B$199/12)</f>
        <v/>
      </c>
      <c r="E248" s="19">
        <f>MAX(0,MIN(C248,$B$201-D248))</f>
        <v/>
      </c>
      <c r="F248" s="19">
        <f>MAX(0,C248-E248)</f>
        <v/>
      </c>
    </row>
    <row r="249">
      <c r="A249" s="44" t="n">
        <v>40</v>
      </c>
      <c r="B249" s="44" t="inlineStr">
        <is>
          <t>2025-08-03</t>
        </is>
      </c>
      <c r="C249" s="45">
        <f>F248</f>
        <v/>
      </c>
      <c r="D249" s="45">
        <f>MAX(0,C249*$B$199/12)</f>
        <v/>
      </c>
      <c r="E249" s="45">
        <f>MAX(0,MIN(C249,$B$201-D249))</f>
        <v/>
      </c>
      <c r="F249" s="45">
        <f>MAX(0,C249-E249)</f>
        <v/>
      </c>
    </row>
    <row r="250">
      <c r="A250" s="43" t="n">
        <v>41</v>
      </c>
      <c r="B250" s="43" t="inlineStr">
        <is>
          <t>2025-09-03</t>
        </is>
      </c>
      <c r="C250" s="19">
        <f>F249</f>
        <v/>
      </c>
      <c r="D250" s="19">
        <f>MAX(0,C250*$B$199/12)</f>
        <v/>
      </c>
      <c r="E250" s="19">
        <f>MAX(0,MIN(C250,$B$201-D250))</f>
        <v/>
      </c>
      <c r="F250" s="19">
        <f>MAX(0,C250-E250)</f>
        <v/>
      </c>
    </row>
    <row r="251">
      <c r="A251" s="44" t="n">
        <v>42</v>
      </c>
      <c r="B251" s="44" t="inlineStr">
        <is>
          <t>2025-10-03</t>
        </is>
      </c>
      <c r="C251" s="45">
        <f>F250</f>
        <v/>
      </c>
      <c r="D251" s="45">
        <f>MAX(0,C251*$B$199/12)</f>
        <v/>
      </c>
      <c r="E251" s="45">
        <f>MAX(0,MIN(C251,$B$201-D251))</f>
        <v/>
      </c>
      <c r="F251" s="45">
        <f>MAX(0,C251-E251)</f>
        <v/>
      </c>
    </row>
    <row r="252">
      <c r="A252" s="43" t="n">
        <v>43</v>
      </c>
      <c r="B252" s="43" t="inlineStr">
        <is>
          <t>2025-11-03</t>
        </is>
      </c>
      <c r="C252" s="19">
        <f>F251</f>
        <v/>
      </c>
      <c r="D252" s="19">
        <f>MAX(0,C252*$B$199/12)</f>
        <v/>
      </c>
      <c r="E252" s="19">
        <f>MAX(0,MIN(C252,$B$201-D252))</f>
        <v/>
      </c>
      <c r="F252" s="19">
        <f>MAX(0,C252-E252)</f>
        <v/>
      </c>
    </row>
    <row r="253">
      <c r="A253" s="44" t="n">
        <v>44</v>
      </c>
      <c r="B253" s="44" t="inlineStr">
        <is>
          <t>2025-12-03</t>
        </is>
      </c>
      <c r="C253" s="45">
        <f>F252</f>
        <v/>
      </c>
      <c r="D253" s="45">
        <f>MAX(0,C253*$B$199/12)</f>
        <v/>
      </c>
      <c r="E253" s="45">
        <f>MAX(0,MIN(C253,$B$201-D253))</f>
        <v/>
      </c>
      <c r="F253" s="45">
        <f>MAX(0,C253-E253)</f>
        <v/>
      </c>
    </row>
    <row r="254">
      <c r="A254" s="43" t="n">
        <v>45</v>
      </c>
      <c r="B254" s="43" t="inlineStr">
        <is>
          <t>2026-01-03</t>
        </is>
      </c>
      <c r="C254" s="19">
        <f>F253</f>
        <v/>
      </c>
      <c r="D254" s="19">
        <f>MAX(0,C254*$B$199/12)</f>
        <v/>
      </c>
      <c r="E254" s="19">
        <f>MAX(0,MIN(C254,$B$201-D254))</f>
        <v/>
      </c>
      <c r="F254" s="19">
        <f>MAX(0,C254-E254)</f>
        <v/>
      </c>
    </row>
    <row r="255">
      <c r="A255" s="44" t="n">
        <v>46</v>
      </c>
      <c r="B255" s="44" t="inlineStr">
        <is>
          <t>2026-02-03</t>
        </is>
      </c>
      <c r="C255" s="45">
        <f>F254</f>
        <v/>
      </c>
      <c r="D255" s="45">
        <f>MAX(0,C255*$B$199/12)</f>
        <v/>
      </c>
      <c r="E255" s="45">
        <f>MAX(0,MIN(C255,$B$201-D255))</f>
        <v/>
      </c>
      <c r="F255" s="45">
        <f>MAX(0,C255-E255)</f>
        <v/>
      </c>
    </row>
    <row r="256">
      <c r="A256" s="43" t="n">
        <v>47</v>
      </c>
      <c r="B256" s="43" t="inlineStr">
        <is>
          <t>2026-03-03</t>
        </is>
      </c>
      <c r="C256" s="19">
        <f>F255</f>
        <v/>
      </c>
      <c r="D256" s="19">
        <f>MAX(0,C256*$B$199/12)</f>
        <v/>
      </c>
      <c r="E256" s="19">
        <f>MAX(0,MIN(C256,$B$201-D256))</f>
        <v/>
      </c>
      <c r="F256" s="19">
        <f>MAX(0,C256-E256)</f>
        <v/>
      </c>
    </row>
    <row r="257">
      <c r="A257" s="44" t="n">
        <v>48</v>
      </c>
      <c r="B257" s="44" t="inlineStr">
        <is>
          <t>2026-04-03</t>
        </is>
      </c>
      <c r="C257" s="45">
        <f>F256</f>
        <v/>
      </c>
      <c r="D257" s="45">
        <f>MAX(0,C257*$B$199/12)</f>
        <v/>
      </c>
      <c r="E257" s="45">
        <f>MAX(0,MIN(C257,$B$201-D257))</f>
        <v/>
      </c>
      <c r="F257" s="45">
        <f>MAX(0,C257-E257)</f>
        <v/>
      </c>
    </row>
    <row r="258">
      <c r="A258" s="43" t="n">
        <v>49</v>
      </c>
      <c r="B258" s="43" t="inlineStr">
        <is>
          <t>2026-05-03</t>
        </is>
      </c>
      <c r="C258" s="19">
        <f>F257</f>
        <v/>
      </c>
      <c r="D258" s="19">
        <f>MAX(0,C258*$B$199/12)</f>
        <v/>
      </c>
      <c r="E258" s="19">
        <f>MAX(0,MIN(C258,$B$201-D258))</f>
        <v/>
      </c>
      <c r="F258" s="19">
        <f>MAX(0,C258-E258)</f>
        <v/>
      </c>
    </row>
    <row r="259">
      <c r="A259" s="44" t="n">
        <v>50</v>
      </c>
      <c r="B259" s="44" t="inlineStr">
        <is>
          <t>2026-06-03</t>
        </is>
      </c>
      <c r="C259" s="45">
        <f>F258</f>
        <v/>
      </c>
      <c r="D259" s="45">
        <f>MAX(0,C259*$B$199/12)</f>
        <v/>
      </c>
      <c r="E259" s="45">
        <f>MAX(0,MIN(C259,$B$201-D259))</f>
        <v/>
      </c>
      <c r="F259" s="45">
        <f>MAX(0,C259-E259)</f>
        <v/>
      </c>
    </row>
    <row r="260">
      <c r="A260" s="43" t="n">
        <v>51</v>
      </c>
      <c r="B260" s="43" t="inlineStr">
        <is>
          <t>2026-07-03</t>
        </is>
      </c>
      <c r="C260" s="19">
        <f>F259</f>
        <v/>
      </c>
      <c r="D260" s="19">
        <f>MAX(0,C260*$B$199/12)</f>
        <v/>
      </c>
      <c r="E260" s="19">
        <f>MAX(0,MIN(C260,$B$201-D260))</f>
        <v/>
      </c>
      <c r="F260" s="19">
        <f>MAX(0,C260-E260)</f>
        <v/>
      </c>
    </row>
    <row r="261">
      <c r="A261" s="44" t="n">
        <v>52</v>
      </c>
      <c r="B261" s="44" t="inlineStr">
        <is>
          <t>2026-08-03</t>
        </is>
      </c>
      <c r="C261" s="45">
        <f>F260</f>
        <v/>
      </c>
      <c r="D261" s="45">
        <f>MAX(0,C261*$B$199/12)</f>
        <v/>
      </c>
      <c r="E261" s="45">
        <f>MAX(0,MIN(C261,$B$201-D261))</f>
        <v/>
      </c>
      <c r="F261" s="45">
        <f>MAX(0,C261-E261)</f>
        <v/>
      </c>
    </row>
    <row r="262">
      <c r="A262" s="43" t="n">
        <v>53</v>
      </c>
      <c r="B262" s="43" t="inlineStr">
        <is>
          <t>2026-09-03</t>
        </is>
      </c>
      <c r="C262" s="19">
        <f>F261</f>
        <v/>
      </c>
      <c r="D262" s="19">
        <f>MAX(0,C262*$B$199/12)</f>
        <v/>
      </c>
      <c r="E262" s="19">
        <f>MAX(0,MIN(C262,$B$201-D262))</f>
        <v/>
      </c>
      <c r="F262" s="19">
        <f>MAX(0,C262-E262)</f>
        <v/>
      </c>
    </row>
    <row r="263">
      <c r="A263" s="44" t="n">
        <v>54</v>
      </c>
      <c r="B263" s="44" t="inlineStr">
        <is>
          <t>2026-10-03</t>
        </is>
      </c>
      <c r="C263" s="45">
        <f>F262</f>
        <v/>
      </c>
      <c r="D263" s="45">
        <f>MAX(0,C263*$B$199/12)</f>
        <v/>
      </c>
      <c r="E263" s="45">
        <f>MAX(0,MIN(C263,$B$201-D263))</f>
        <v/>
      </c>
      <c r="F263" s="45">
        <f>MAX(0,C263-E263)</f>
        <v/>
      </c>
    </row>
    <row r="264">
      <c r="A264" s="43" t="n">
        <v>55</v>
      </c>
      <c r="B264" s="43" t="inlineStr">
        <is>
          <t>2026-11-03</t>
        </is>
      </c>
      <c r="C264" s="19">
        <f>F263</f>
        <v/>
      </c>
      <c r="D264" s="19">
        <f>MAX(0,C264*$B$199/12)</f>
        <v/>
      </c>
      <c r="E264" s="19">
        <f>MAX(0,MIN(C264,$B$201-D264))</f>
        <v/>
      </c>
      <c r="F264" s="19">
        <f>MAX(0,C264-E264)</f>
        <v/>
      </c>
    </row>
    <row r="265">
      <c r="A265" s="44" t="n">
        <v>56</v>
      </c>
      <c r="B265" s="44" t="inlineStr">
        <is>
          <t>2026-12-03</t>
        </is>
      </c>
      <c r="C265" s="45">
        <f>F264</f>
        <v/>
      </c>
      <c r="D265" s="45">
        <f>MAX(0,C265*$B$199/12)</f>
        <v/>
      </c>
      <c r="E265" s="45">
        <f>MAX(0,MIN(C265,$B$201-D265))</f>
        <v/>
      </c>
      <c r="F265" s="45">
        <f>MAX(0,C265-E265)</f>
        <v/>
      </c>
    </row>
    <row r="266">
      <c r="A266" s="43" t="n">
        <v>57</v>
      </c>
      <c r="B266" s="43" t="inlineStr">
        <is>
          <t>2027-01-03</t>
        </is>
      </c>
      <c r="C266" s="19">
        <f>F265</f>
        <v/>
      </c>
      <c r="D266" s="19">
        <f>MAX(0,C266*$B$199/12)</f>
        <v/>
      </c>
      <c r="E266" s="19">
        <f>MAX(0,MIN(C266,$B$201-D266))</f>
        <v/>
      </c>
      <c r="F266" s="19">
        <f>MAX(0,C266-E266)</f>
        <v/>
      </c>
    </row>
    <row r="267">
      <c r="A267" s="44" t="n">
        <v>58</v>
      </c>
      <c r="B267" s="44" t="inlineStr">
        <is>
          <t>2027-02-03</t>
        </is>
      </c>
      <c r="C267" s="45">
        <f>F266</f>
        <v/>
      </c>
      <c r="D267" s="45">
        <f>MAX(0,C267*$B$199/12)</f>
        <v/>
      </c>
      <c r="E267" s="45">
        <f>MAX(0,MIN(C267,$B$201-D267))</f>
        <v/>
      </c>
      <c r="F267" s="45">
        <f>MAX(0,C267-E267)</f>
        <v/>
      </c>
    </row>
    <row r="268">
      <c r="A268" s="43" t="n">
        <v>59</v>
      </c>
      <c r="B268" s="43" t="inlineStr">
        <is>
          <t>2027-03-03</t>
        </is>
      </c>
      <c r="C268" s="19">
        <f>F267</f>
        <v/>
      </c>
      <c r="D268" s="19">
        <f>MAX(0,C268*$B$199/12)</f>
        <v/>
      </c>
      <c r="E268" s="19">
        <f>MAX(0,MIN(C268,$B$201-D268))</f>
        <v/>
      </c>
      <c r="F268" s="19">
        <f>MAX(0,C268-E268)</f>
        <v/>
      </c>
    </row>
    <row r="269">
      <c r="A269" s="44" t="n">
        <v>60</v>
      </c>
      <c r="B269" s="44" t="inlineStr">
        <is>
          <t>2027-04-03</t>
        </is>
      </c>
      <c r="C269" s="45">
        <f>F268</f>
        <v/>
      </c>
      <c r="D269" s="45">
        <f>MAX(0,C269*$B$199/12)</f>
        <v/>
      </c>
      <c r="E269" s="45">
        <f>MAX(0,MIN(C269,$B$201-D269))</f>
        <v/>
      </c>
      <c r="F269" s="45">
        <f>MAX(0,C269-E269)</f>
        <v/>
      </c>
    </row>
    <row r="270">
      <c r="A270" s="43" t="n">
        <v>61</v>
      </c>
      <c r="B270" s="43" t="inlineStr">
        <is>
          <t>2027-05-03</t>
        </is>
      </c>
      <c r="C270" s="19">
        <f>F269</f>
        <v/>
      </c>
      <c r="D270" s="19">
        <f>MAX(0,C270*$B$199/12)</f>
        <v/>
      </c>
      <c r="E270" s="19">
        <f>MAX(0,MIN(C270,$B$201-D270))</f>
        <v/>
      </c>
      <c r="F270" s="19">
        <f>MAX(0,C270-E270)</f>
        <v/>
      </c>
    </row>
    <row r="271">
      <c r="A271" s="44" t="n">
        <v>62</v>
      </c>
      <c r="B271" s="44" t="inlineStr">
        <is>
          <t>2027-06-03</t>
        </is>
      </c>
      <c r="C271" s="45">
        <f>F270</f>
        <v/>
      </c>
      <c r="D271" s="45">
        <f>MAX(0,C271*$B$199/12)</f>
        <v/>
      </c>
      <c r="E271" s="45">
        <f>MAX(0,MIN(C271,$B$201-D271))</f>
        <v/>
      </c>
      <c r="F271" s="45">
        <f>MAX(0,C271-E271)</f>
        <v/>
      </c>
    </row>
    <row r="272">
      <c r="A272" s="43" t="n">
        <v>63</v>
      </c>
      <c r="B272" s="43" t="inlineStr">
        <is>
          <t>2027-07-03</t>
        </is>
      </c>
      <c r="C272" s="19">
        <f>F271</f>
        <v/>
      </c>
      <c r="D272" s="19">
        <f>MAX(0,C272*$B$199/12)</f>
        <v/>
      </c>
      <c r="E272" s="19">
        <f>MAX(0,MIN(C272,$B$201-D272))</f>
        <v/>
      </c>
      <c r="F272" s="19">
        <f>MAX(0,C272-E272)</f>
        <v/>
      </c>
    </row>
    <row r="273">
      <c r="A273" s="44" t="n">
        <v>64</v>
      </c>
      <c r="B273" s="44" t="inlineStr">
        <is>
          <t>2027-08-03</t>
        </is>
      </c>
      <c r="C273" s="45">
        <f>F272</f>
        <v/>
      </c>
      <c r="D273" s="45">
        <f>MAX(0,C273*$B$199/12)</f>
        <v/>
      </c>
      <c r="E273" s="45">
        <f>MAX(0,MIN(C273,$B$201-D273))</f>
        <v/>
      </c>
      <c r="F273" s="45">
        <f>MAX(0,C273-E273)</f>
        <v/>
      </c>
    </row>
    <row r="274">
      <c r="A274" s="43" t="n">
        <v>65</v>
      </c>
      <c r="B274" s="43" t="inlineStr">
        <is>
          <t>2027-09-03</t>
        </is>
      </c>
      <c r="C274" s="19">
        <f>F273</f>
        <v/>
      </c>
      <c r="D274" s="19">
        <f>MAX(0,C274*$B$199/12)</f>
        <v/>
      </c>
      <c r="E274" s="19">
        <f>MAX(0,MIN(C274,$B$201-D274))</f>
        <v/>
      </c>
      <c r="F274" s="19">
        <f>MAX(0,C274-E274)</f>
        <v/>
      </c>
    </row>
    <row r="275">
      <c r="A275" s="44" t="n">
        <v>66</v>
      </c>
      <c r="B275" s="44" t="inlineStr">
        <is>
          <t>2027-10-03</t>
        </is>
      </c>
      <c r="C275" s="45">
        <f>F274</f>
        <v/>
      </c>
      <c r="D275" s="45">
        <f>MAX(0,C275*$B$199/12)</f>
        <v/>
      </c>
      <c r="E275" s="45">
        <f>MAX(0,MIN(C275,$B$201-D275))</f>
        <v/>
      </c>
      <c r="F275" s="45">
        <f>MAX(0,C275-E275)</f>
        <v/>
      </c>
    </row>
    <row r="276">
      <c r="A276" s="62" t="inlineStr">
        <is>
          <t>TOTALS</t>
        </is>
      </c>
      <c r="B276" s="63" t="n"/>
      <c r="C276" s="63" t="n"/>
      <c r="D276" s="64">
        <f>SUM(D210:D275)</f>
        <v/>
      </c>
      <c r="E276" s="64">
        <f>SUM(E210:E275)</f>
        <v/>
      </c>
      <c r="F276" s="63" t="n"/>
    </row>
    <row r="279">
      <c r="A279" s="15" t="inlineStr">
        <is>
          <t>LOAN 4: 3 T880 DC &amp; 1 T680 Slpr (May 2022)</t>
        </is>
      </c>
    </row>
    <row r="280">
      <c r="A280" s="20" t="inlineStr">
        <is>
          <t>Loan ID:</t>
        </is>
      </c>
      <c r="B280" s="2" t="inlineStr">
        <is>
          <t>05-2961-004-000-00</t>
        </is>
      </c>
    </row>
    <row r="281">
      <c r="A281" s="20" t="inlineStr">
        <is>
          <t>Account:</t>
        </is>
      </c>
      <c r="B281" s="2" t="inlineStr">
        <is>
          <t>101-0014230-006</t>
        </is>
      </c>
    </row>
    <row r="282">
      <c r="A282" s="20" t="inlineStr">
        <is>
          <t>Opening Balance:</t>
        </is>
      </c>
      <c r="B282" s="3" t="n">
        <v>605160</v>
      </c>
    </row>
    <row r="283">
      <c r="A283" s="20" t="inlineStr">
        <is>
          <t>Annual Rate:</t>
        </is>
      </c>
      <c r="B283" s="4" t="n">
        <v>0.0418</v>
      </c>
    </row>
    <row r="284">
      <c r="A284" s="20" t="inlineStr">
        <is>
          <t>Term Months:</t>
        </is>
      </c>
      <c r="B284" s="2" t="n">
        <v>66</v>
      </c>
    </row>
    <row r="285">
      <c r="A285" s="20" t="inlineStr">
        <is>
          <t>Monthly Payment:</t>
        </is>
      </c>
      <c r="B285" s="3" t="n">
        <v>10288.73</v>
      </c>
    </row>
    <row r="286">
      <c r="A286" s="20" t="inlineStr">
        <is>
          <t>Loan Type:</t>
        </is>
      </c>
      <c r="B286" t="inlineStr">
        <is>
          <t>AMORTIZING</t>
        </is>
      </c>
    </row>
    <row r="287">
      <c r="A287" s="20" t="inlineStr">
        <is>
          <t>Use:</t>
        </is>
      </c>
      <c r="B287" t="inlineStr">
        <is>
          <t>Equipment (Semi trucks - 3 T880 DC &amp; 1 T680 Slpr)</t>
        </is>
      </c>
    </row>
    <row r="288">
      <c r="A288" s="20" t="inlineStr">
        <is>
          <t>Maturity Date:</t>
        </is>
      </c>
      <c r="B288" s="2" t="inlineStr">
        <is>
          <t>2027-11-18</t>
        </is>
      </c>
    </row>
    <row r="289">
      <c r="A289" s="17" t="inlineStr">
        <is>
          <t>AI ANALYSIS</t>
        </is>
      </c>
      <c r="B289" s="6" t="n"/>
      <c r="C289" s="6" t="n"/>
      <c r="D289" s="6" t="n"/>
      <c r="E289" s="6" t="n"/>
      <c r="F289" s="6" t="n"/>
    </row>
    <row r="290">
      <c r="A290" s="6" t="inlineStr">
        <is>
          <t>Classification:</t>
        </is>
      </c>
      <c r="B290" s="6" t="inlineStr">
        <is>
          <t>Standard equipment term loan with fixed monthly P&amp;I payments</t>
        </is>
      </c>
    </row>
    <row r="291">
      <c r="A291" s="6" t="inlineStr">
        <is>
          <t>Amortization:</t>
        </is>
      </c>
      <c r="B291" s="6" t="inlineStr">
        <is>
          <t>Fully amortizing over 66 months, no balloon payment</t>
        </is>
      </c>
    </row>
    <row r="293">
      <c r="A293" s="23" t="inlineStr">
        <is>
          <t>Month #</t>
        </is>
      </c>
      <c r="B293" s="23" t="inlineStr">
        <is>
          <t>Date</t>
        </is>
      </c>
      <c r="C293" s="23" t="inlineStr">
        <is>
          <t>Opening Balance</t>
        </is>
      </c>
      <c r="D293" s="23" t="inlineStr">
        <is>
          <t>Interest</t>
        </is>
      </c>
      <c r="E293" s="23" t="inlineStr">
        <is>
          <t>Principal</t>
        </is>
      </c>
      <c r="F293" s="23" t="inlineStr">
        <is>
          <t>Closing Balance</t>
        </is>
      </c>
    </row>
    <row r="294">
      <c r="A294" s="43" t="n">
        <v>1</v>
      </c>
      <c r="B294" s="43" t="inlineStr">
        <is>
          <t>2022-05-18</t>
        </is>
      </c>
      <c r="C294" s="19">
        <f>B282</f>
        <v/>
      </c>
      <c r="D294" s="19">
        <f>MAX(0,C294*$B$283/12)</f>
        <v/>
      </c>
      <c r="E294" s="19">
        <f>MAX(0,MIN(C294,$B$285-D294))</f>
        <v/>
      </c>
      <c r="F294" s="19">
        <f>MAX(0,C294-E294)</f>
        <v/>
      </c>
    </row>
    <row r="295">
      <c r="A295" s="44" t="n">
        <v>2</v>
      </c>
      <c r="B295" s="44" t="inlineStr">
        <is>
          <t>2022-06-18</t>
        </is>
      </c>
      <c r="C295" s="45">
        <f>F294</f>
        <v/>
      </c>
      <c r="D295" s="45">
        <f>MAX(0,C295*$B$283/12)</f>
        <v/>
      </c>
      <c r="E295" s="45">
        <f>MAX(0,MIN(C295,$B$285-D295))</f>
        <v/>
      </c>
      <c r="F295" s="45">
        <f>MAX(0,C295-E295)</f>
        <v/>
      </c>
    </row>
    <row r="296">
      <c r="A296" s="43" t="n">
        <v>3</v>
      </c>
      <c r="B296" s="43" t="inlineStr">
        <is>
          <t>2022-07-18</t>
        </is>
      </c>
      <c r="C296" s="19">
        <f>F295</f>
        <v/>
      </c>
      <c r="D296" s="19">
        <f>MAX(0,C296*$B$283/12)</f>
        <v/>
      </c>
      <c r="E296" s="19">
        <f>MAX(0,MIN(C296,$B$285-D296))</f>
        <v/>
      </c>
      <c r="F296" s="19">
        <f>MAX(0,C296-E296)</f>
        <v/>
      </c>
    </row>
    <row r="297">
      <c r="A297" s="44" t="n">
        <v>4</v>
      </c>
      <c r="B297" s="44" t="inlineStr">
        <is>
          <t>2022-08-18</t>
        </is>
      </c>
      <c r="C297" s="45">
        <f>F296</f>
        <v/>
      </c>
      <c r="D297" s="45">
        <f>MAX(0,C297*$B$283/12)</f>
        <v/>
      </c>
      <c r="E297" s="45">
        <f>MAX(0,MIN(C297,$B$285-D297))</f>
        <v/>
      </c>
      <c r="F297" s="45">
        <f>MAX(0,C297-E297)</f>
        <v/>
      </c>
    </row>
    <row r="298">
      <c r="A298" s="43" t="n">
        <v>5</v>
      </c>
      <c r="B298" s="43" t="inlineStr">
        <is>
          <t>2022-09-18</t>
        </is>
      </c>
      <c r="C298" s="19">
        <f>F297</f>
        <v/>
      </c>
      <c r="D298" s="19">
        <f>MAX(0,C298*$B$283/12)</f>
        <v/>
      </c>
      <c r="E298" s="19">
        <f>MAX(0,MIN(C298,$B$285-D298))</f>
        <v/>
      </c>
      <c r="F298" s="19">
        <f>MAX(0,C298-E298)</f>
        <v/>
      </c>
    </row>
    <row r="299">
      <c r="A299" s="44" t="n">
        <v>6</v>
      </c>
      <c r="B299" s="44" t="inlineStr">
        <is>
          <t>2022-10-18</t>
        </is>
      </c>
      <c r="C299" s="45">
        <f>F298</f>
        <v/>
      </c>
      <c r="D299" s="45">
        <f>MAX(0,C299*$B$283/12)</f>
        <v/>
      </c>
      <c r="E299" s="45">
        <f>MAX(0,MIN(C299,$B$285-D299))</f>
        <v/>
      </c>
      <c r="F299" s="45">
        <f>MAX(0,C299-E299)</f>
        <v/>
      </c>
    </row>
    <row r="300">
      <c r="A300" s="43" t="n">
        <v>7</v>
      </c>
      <c r="B300" s="43" t="inlineStr">
        <is>
          <t>2022-11-18</t>
        </is>
      </c>
      <c r="C300" s="19">
        <f>F299</f>
        <v/>
      </c>
      <c r="D300" s="19">
        <f>MAX(0,C300*$B$283/12)</f>
        <v/>
      </c>
      <c r="E300" s="19">
        <f>MAX(0,MIN(C300,$B$285-D300))</f>
        <v/>
      </c>
      <c r="F300" s="19">
        <f>MAX(0,C300-E300)</f>
        <v/>
      </c>
    </row>
    <row r="301">
      <c r="A301" s="44" t="n">
        <v>8</v>
      </c>
      <c r="B301" s="44" t="inlineStr">
        <is>
          <t>2022-12-18</t>
        </is>
      </c>
      <c r="C301" s="45">
        <f>F300</f>
        <v/>
      </c>
      <c r="D301" s="45">
        <f>MAX(0,C301*$B$283/12)</f>
        <v/>
      </c>
      <c r="E301" s="45">
        <f>MAX(0,MIN(C301,$B$285-D301))</f>
        <v/>
      </c>
      <c r="F301" s="45">
        <f>MAX(0,C301-E301)</f>
        <v/>
      </c>
    </row>
    <row r="302">
      <c r="A302" s="43" t="n">
        <v>9</v>
      </c>
      <c r="B302" s="43" t="inlineStr">
        <is>
          <t>2023-01-18</t>
        </is>
      </c>
      <c r="C302" s="19">
        <f>F301</f>
        <v/>
      </c>
      <c r="D302" s="19">
        <f>MAX(0,C302*$B$283/12)</f>
        <v/>
      </c>
      <c r="E302" s="19">
        <f>MAX(0,MIN(C302,$B$285-D302))</f>
        <v/>
      </c>
      <c r="F302" s="19">
        <f>MAX(0,C302-E302)</f>
        <v/>
      </c>
    </row>
    <row r="303">
      <c r="A303" s="44" t="n">
        <v>10</v>
      </c>
      <c r="B303" s="44" t="inlineStr">
        <is>
          <t>2023-02-18</t>
        </is>
      </c>
      <c r="C303" s="45">
        <f>F302</f>
        <v/>
      </c>
      <c r="D303" s="45">
        <f>MAX(0,C303*$B$283/12)</f>
        <v/>
      </c>
      <c r="E303" s="45">
        <f>MAX(0,MIN(C303,$B$285-D303))</f>
        <v/>
      </c>
      <c r="F303" s="45">
        <f>MAX(0,C303-E303)</f>
        <v/>
      </c>
    </row>
    <row r="304">
      <c r="A304" s="43" t="n">
        <v>11</v>
      </c>
      <c r="B304" s="43" t="inlineStr">
        <is>
          <t>2023-03-18</t>
        </is>
      </c>
      <c r="C304" s="19">
        <f>F303</f>
        <v/>
      </c>
      <c r="D304" s="19">
        <f>MAX(0,C304*$B$283/12)</f>
        <v/>
      </c>
      <c r="E304" s="19">
        <f>MAX(0,MIN(C304,$B$285-D304))</f>
        <v/>
      </c>
      <c r="F304" s="19">
        <f>MAX(0,C304-E304)</f>
        <v/>
      </c>
    </row>
    <row r="305">
      <c r="A305" s="44" t="n">
        <v>12</v>
      </c>
      <c r="B305" s="44" t="inlineStr">
        <is>
          <t>2023-04-18</t>
        </is>
      </c>
      <c r="C305" s="45">
        <f>F304</f>
        <v/>
      </c>
      <c r="D305" s="45">
        <f>MAX(0,C305*$B$283/12)</f>
        <v/>
      </c>
      <c r="E305" s="45">
        <f>MAX(0,MIN(C305,$B$285-D305))</f>
        <v/>
      </c>
      <c r="F305" s="45">
        <f>MAX(0,C305-E305)</f>
        <v/>
      </c>
    </row>
    <row r="306">
      <c r="A306" s="43" t="n">
        <v>13</v>
      </c>
      <c r="B306" s="43" t="inlineStr">
        <is>
          <t>2023-05-18</t>
        </is>
      </c>
      <c r="C306" s="19">
        <f>F305</f>
        <v/>
      </c>
      <c r="D306" s="19">
        <f>MAX(0,C306*$B$283/12)</f>
        <v/>
      </c>
      <c r="E306" s="19">
        <f>MAX(0,MIN(C306,$B$285-D306))</f>
        <v/>
      </c>
      <c r="F306" s="19">
        <f>MAX(0,C306-E306)</f>
        <v/>
      </c>
    </row>
    <row r="307">
      <c r="A307" s="44" t="n">
        <v>14</v>
      </c>
      <c r="B307" s="44" t="inlineStr">
        <is>
          <t>2023-06-18</t>
        </is>
      </c>
      <c r="C307" s="45">
        <f>F306</f>
        <v/>
      </c>
      <c r="D307" s="45">
        <f>MAX(0,C307*$B$283/12)</f>
        <v/>
      </c>
      <c r="E307" s="45">
        <f>MAX(0,MIN(C307,$B$285-D307))</f>
        <v/>
      </c>
      <c r="F307" s="45">
        <f>MAX(0,C307-E307)</f>
        <v/>
      </c>
    </row>
    <row r="308">
      <c r="A308" s="43" t="n">
        <v>15</v>
      </c>
      <c r="B308" s="43" t="inlineStr">
        <is>
          <t>2023-07-18</t>
        </is>
      </c>
      <c r="C308" s="19">
        <f>F307</f>
        <v/>
      </c>
      <c r="D308" s="19">
        <f>MAX(0,C308*$B$283/12)</f>
        <v/>
      </c>
      <c r="E308" s="19">
        <f>MAX(0,MIN(C308,$B$285-D308))</f>
        <v/>
      </c>
      <c r="F308" s="19">
        <f>MAX(0,C308-E308)</f>
        <v/>
      </c>
    </row>
    <row r="309">
      <c r="A309" s="44" t="n">
        <v>16</v>
      </c>
      <c r="B309" s="44" t="inlineStr">
        <is>
          <t>2023-08-18</t>
        </is>
      </c>
      <c r="C309" s="45">
        <f>F308</f>
        <v/>
      </c>
      <c r="D309" s="45">
        <f>MAX(0,C309*$B$283/12)</f>
        <v/>
      </c>
      <c r="E309" s="45">
        <f>MAX(0,MIN(C309,$B$285-D309))</f>
        <v/>
      </c>
      <c r="F309" s="45">
        <f>MAX(0,C309-E309)</f>
        <v/>
      </c>
    </row>
    <row r="310">
      <c r="A310" s="43" t="n">
        <v>17</v>
      </c>
      <c r="B310" s="43" t="inlineStr">
        <is>
          <t>2023-09-18</t>
        </is>
      </c>
      <c r="C310" s="19">
        <f>F309</f>
        <v/>
      </c>
      <c r="D310" s="19">
        <f>MAX(0,C310*$B$283/12)</f>
        <v/>
      </c>
      <c r="E310" s="19">
        <f>MAX(0,MIN(C310,$B$285-D310))</f>
        <v/>
      </c>
      <c r="F310" s="19">
        <f>MAX(0,C310-E310)</f>
        <v/>
      </c>
    </row>
    <row r="311">
      <c r="A311" s="44" t="n">
        <v>18</v>
      </c>
      <c r="B311" s="44" t="inlineStr">
        <is>
          <t>2023-10-18</t>
        </is>
      </c>
      <c r="C311" s="45">
        <f>F310</f>
        <v/>
      </c>
      <c r="D311" s="45">
        <f>MAX(0,C311*$B$283/12)</f>
        <v/>
      </c>
      <c r="E311" s="45">
        <f>MAX(0,MIN(C311,$B$285-D311))</f>
        <v/>
      </c>
      <c r="F311" s="45">
        <f>MAX(0,C311-E311)</f>
        <v/>
      </c>
    </row>
    <row r="312">
      <c r="A312" s="43" t="n">
        <v>19</v>
      </c>
      <c r="B312" s="43" t="inlineStr">
        <is>
          <t>2023-11-18</t>
        </is>
      </c>
      <c r="C312" s="19">
        <f>F311</f>
        <v/>
      </c>
      <c r="D312" s="19">
        <f>MAX(0,C312*$B$283/12)</f>
        <v/>
      </c>
      <c r="E312" s="19">
        <f>MAX(0,MIN(C312,$B$285-D312))</f>
        <v/>
      </c>
      <c r="F312" s="19">
        <f>MAX(0,C312-E312)</f>
        <v/>
      </c>
    </row>
    <row r="313">
      <c r="A313" s="44" t="n">
        <v>20</v>
      </c>
      <c r="B313" s="44" t="inlineStr">
        <is>
          <t>2023-12-18</t>
        </is>
      </c>
      <c r="C313" s="45">
        <f>F312</f>
        <v/>
      </c>
      <c r="D313" s="45">
        <f>MAX(0,C313*$B$283/12)</f>
        <v/>
      </c>
      <c r="E313" s="45">
        <f>MAX(0,MIN(C313,$B$285-D313))</f>
        <v/>
      </c>
      <c r="F313" s="45">
        <f>MAX(0,C313-E313)</f>
        <v/>
      </c>
    </row>
    <row r="314">
      <c r="A314" s="43" t="n">
        <v>21</v>
      </c>
      <c r="B314" s="43" t="inlineStr">
        <is>
          <t>2024-01-18</t>
        </is>
      </c>
      <c r="C314" s="19">
        <f>F313</f>
        <v/>
      </c>
      <c r="D314" s="19">
        <f>MAX(0,C314*$B$283/12)</f>
        <v/>
      </c>
      <c r="E314" s="19">
        <f>MAX(0,MIN(C314,$B$285-D314))</f>
        <v/>
      </c>
      <c r="F314" s="19">
        <f>MAX(0,C314-E314)</f>
        <v/>
      </c>
    </row>
    <row r="315">
      <c r="A315" s="44" t="n">
        <v>22</v>
      </c>
      <c r="B315" s="44" t="inlineStr">
        <is>
          <t>2024-02-18</t>
        </is>
      </c>
      <c r="C315" s="45">
        <f>F314</f>
        <v/>
      </c>
      <c r="D315" s="45">
        <f>MAX(0,C315*$B$283/12)</f>
        <v/>
      </c>
      <c r="E315" s="45">
        <f>MAX(0,MIN(C315,$B$285-D315))</f>
        <v/>
      </c>
      <c r="F315" s="45">
        <f>MAX(0,C315-E315)</f>
        <v/>
      </c>
    </row>
    <row r="316">
      <c r="A316" s="43" t="n">
        <v>23</v>
      </c>
      <c r="B316" s="43" t="inlineStr">
        <is>
          <t>2024-03-18</t>
        </is>
      </c>
      <c r="C316" s="19">
        <f>F315</f>
        <v/>
      </c>
      <c r="D316" s="19">
        <f>MAX(0,C316*$B$283/12)</f>
        <v/>
      </c>
      <c r="E316" s="19">
        <f>MAX(0,MIN(C316,$B$285-D316))</f>
        <v/>
      </c>
      <c r="F316" s="19">
        <f>MAX(0,C316-E316)</f>
        <v/>
      </c>
    </row>
    <row r="317">
      <c r="A317" s="44" t="n">
        <v>24</v>
      </c>
      <c r="B317" s="44" t="inlineStr">
        <is>
          <t>2024-04-18</t>
        </is>
      </c>
      <c r="C317" s="45">
        <f>F316</f>
        <v/>
      </c>
      <c r="D317" s="45">
        <f>MAX(0,C317*$B$283/12)</f>
        <v/>
      </c>
      <c r="E317" s="45">
        <f>MAX(0,MIN(C317,$B$285-D317))</f>
        <v/>
      </c>
      <c r="F317" s="45">
        <f>MAX(0,C317-E317)</f>
        <v/>
      </c>
    </row>
    <row r="318">
      <c r="A318" s="43" t="n">
        <v>25</v>
      </c>
      <c r="B318" s="43" t="inlineStr">
        <is>
          <t>2024-05-18</t>
        </is>
      </c>
      <c r="C318" s="19">
        <f>F317</f>
        <v/>
      </c>
      <c r="D318" s="19">
        <f>MAX(0,C318*$B$283/12)</f>
        <v/>
      </c>
      <c r="E318" s="19">
        <f>MAX(0,MIN(C318,$B$285-D318))</f>
        <v/>
      </c>
      <c r="F318" s="19">
        <f>MAX(0,C318-E318)</f>
        <v/>
      </c>
    </row>
    <row r="319">
      <c r="A319" s="44" t="n">
        <v>26</v>
      </c>
      <c r="B319" s="44" t="inlineStr">
        <is>
          <t>2024-06-18</t>
        </is>
      </c>
      <c r="C319" s="45">
        <f>F318</f>
        <v/>
      </c>
      <c r="D319" s="45">
        <f>MAX(0,C319*$B$283/12)</f>
        <v/>
      </c>
      <c r="E319" s="45">
        <f>MAX(0,MIN(C319,$B$285-D319))</f>
        <v/>
      </c>
      <c r="F319" s="45">
        <f>MAX(0,C319-E319)</f>
        <v/>
      </c>
    </row>
    <row r="320">
      <c r="A320" s="43" t="n">
        <v>27</v>
      </c>
      <c r="B320" s="43" t="inlineStr">
        <is>
          <t>2024-07-18</t>
        </is>
      </c>
      <c r="C320" s="19">
        <f>F319</f>
        <v/>
      </c>
      <c r="D320" s="19">
        <f>MAX(0,C320*$B$283/12)</f>
        <v/>
      </c>
      <c r="E320" s="19">
        <f>MAX(0,MIN(C320,$B$285-D320))</f>
        <v/>
      </c>
      <c r="F320" s="19">
        <f>MAX(0,C320-E320)</f>
        <v/>
      </c>
    </row>
    <row r="321">
      <c r="A321" s="44" t="n">
        <v>28</v>
      </c>
      <c r="B321" s="44" t="inlineStr">
        <is>
          <t>2024-08-18</t>
        </is>
      </c>
      <c r="C321" s="45">
        <f>F320</f>
        <v/>
      </c>
      <c r="D321" s="45">
        <f>MAX(0,C321*$B$283/12)</f>
        <v/>
      </c>
      <c r="E321" s="45">
        <f>MAX(0,MIN(C321,$B$285-D321))</f>
        <v/>
      </c>
      <c r="F321" s="45">
        <f>MAX(0,C321-E321)</f>
        <v/>
      </c>
    </row>
    <row r="322">
      <c r="A322" s="43" t="n">
        <v>29</v>
      </c>
      <c r="B322" s="43" t="inlineStr">
        <is>
          <t>2024-09-18</t>
        </is>
      </c>
      <c r="C322" s="19">
        <f>F321</f>
        <v/>
      </c>
      <c r="D322" s="19">
        <f>MAX(0,C322*$B$283/12)</f>
        <v/>
      </c>
      <c r="E322" s="19">
        <f>MAX(0,MIN(C322,$B$285-D322))</f>
        <v/>
      </c>
      <c r="F322" s="19">
        <f>MAX(0,C322-E322)</f>
        <v/>
      </c>
    </row>
    <row r="323">
      <c r="A323" s="44" t="n">
        <v>30</v>
      </c>
      <c r="B323" s="44" t="inlineStr">
        <is>
          <t>2024-10-18</t>
        </is>
      </c>
      <c r="C323" s="45">
        <f>F322</f>
        <v/>
      </c>
      <c r="D323" s="45">
        <f>MAX(0,C323*$B$283/12)</f>
        <v/>
      </c>
      <c r="E323" s="45">
        <f>MAX(0,MIN(C323,$B$285-D323))</f>
        <v/>
      </c>
      <c r="F323" s="45">
        <f>MAX(0,C323-E323)</f>
        <v/>
      </c>
    </row>
    <row r="324">
      <c r="A324" s="43" t="n">
        <v>31</v>
      </c>
      <c r="B324" s="43" t="inlineStr">
        <is>
          <t>2024-11-18</t>
        </is>
      </c>
      <c r="C324" s="19">
        <f>F323</f>
        <v/>
      </c>
      <c r="D324" s="19">
        <f>MAX(0,C324*$B$283/12)</f>
        <v/>
      </c>
      <c r="E324" s="19">
        <f>MAX(0,MIN(C324,$B$285-D324))</f>
        <v/>
      </c>
      <c r="F324" s="19">
        <f>MAX(0,C324-E324)</f>
        <v/>
      </c>
    </row>
    <row r="325">
      <c r="A325" s="44" t="n">
        <v>32</v>
      </c>
      <c r="B325" s="44" t="inlineStr">
        <is>
          <t>2024-12-18</t>
        </is>
      </c>
      <c r="C325" s="45">
        <f>F324</f>
        <v/>
      </c>
      <c r="D325" s="45">
        <f>MAX(0,C325*$B$283/12)</f>
        <v/>
      </c>
      <c r="E325" s="45">
        <f>MAX(0,MIN(C325,$B$285-D325))</f>
        <v/>
      </c>
      <c r="F325" s="45">
        <f>MAX(0,C325-E325)</f>
        <v/>
      </c>
    </row>
    <row r="326">
      <c r="A326" s="43" t="n">
        <v>33</v>
      </c>
      <c r="B326" s="43" t="inlineStr">
        <is>
          <t>2025-01-18</t>
        </is>
      </c>
      <c r="C326" s="19">
        <f>F325</f>
        <v/>
      </c>
      <c r="D326" s="19">
        <f>MAX(0,C326*$B$283/12)</f>
        <v/>
      </c>
      <c r="E326" s="19">
        <f>MAX(0,MIN(C326,$B$285-D326))</f>
        <v/>
      </c>
      <c r="F326" s="19">
        <f>MAX(0,C326-E326)</f>
        <v/>
      </c>
    </row>
    <row r="327">
      <c r="A327" s="44" t="n">
        <v>34</v>
      </c>
      <c r="B327" s="44" t="inlineStr">
        <is>
          <t>2025-02-18</t>
        </is>
      </c>
      <c r="C327" s="45">
        <f>F326</f>
        <v/>
      </c>
      <c r="D327" s="45">
        <f>MAX(0,C327*$B$283/12)</f>
        <v/>
      </c>
      <c r="E327" s="45">
        <f>MAX(0,MIN(C327,$B$285-D327))</f>
        <v/>
      </c>
      <c r="F327" s="45">
        <f>MAX(0,C327-E327)</f>
        <v/>
      </c>
    </row>
    <row r="328">
      <c r="A328" s="43" t="n">
        <v>35</v>
      </c>
      <c r="B328" s="43" t="inlineStr">
        <is>
          <t>2025-03-18</t>
        </is>
      </c>
      <c r="C328" s="19">
        <f>F327</f>
        <v/>
      </c>
      <c r="D328" s="19">
        <f>MAX(0,C328*$B$283/12)</f>
        <v/>
      </c>
      <c r="E328" s="19">
        <f>MAX(0,MIN(C328,$B$285-D328))</f>
        <v/>
      </c>
      <c r="F328" s="19">
        <f>MAX(0,C328-E328)</f>
        <v/>
      </c>
    </row>
    <row r="329">
      <c r="A329" s="44" t="n">
        <v>36</v>
      </c>
      <c r="B329" s="44" t="inlineStr">
        <is>
          <t>2025-04-18</t>
        </is>
      </c>
      <c r="C329" s="45">
        <f>F328</f>
        <v/>
      </c>
      <c r="D329" s="45">
        <f>MAX(0,C329*$B$283/12)</f>
        <v/>
      </c>
      <c r="E329" s="45">
        <f>MAX(0,MIN(C329,$B$285-D329))</f>
        <v/>
      </c>
      <c r="F329" s="45">
        <f>MAX(0,C329-E329)</f>
        <v/>
      </c>
    </row>
    <row r="330">
      <c r="A330" s="43" t="n">
        <v>37</v>
      </c>
      <c r="B330" s="43" t="inlineStr">
        <is>
          <t>2025-05-18</t>
        </is>
      </c>
      <c r="C330" s="19">
        <f>F329</f>
        <v/>
      </c>
      <c r="D330" s="19">
        <f>MAX(0,C330*$B$283/12)</f>
        <v/>
      </c>
      <c r="E330" s="19">
        <f>MAX(0,MIN(C330,$B$285-D330))</f>
        <v/>
      </c>
      <c r="F330" s="19">
        <f>MAX(0,C330-E330)</f>
        <v/>
      </c>
    </row>
    <row r="331">
      <c r="A331" s="44" t="n">
        <v>38</v>
      </c>
      <c r="B331" s="44" t="inlineStr">
        <is>
          <t>2025-06-18</t>
        </is>
      </c>
      <c r="C331" s="45">
        <f>F330</f>
        <v/>
      </c>
      <c r="D331" s="45">
        <f>MAX(0,C331*$B$283/12)</f>
        <v/>
      </c>
      <c r="E331" s="45">
        <f>MAX(0,MIN(C331,$B$285-D331))</f>
        <v/>
      </c>
      <c r="F331" s="45">
        <f>MAX(0,C331-E331)</f>
        <v/>
      </c>
    </row>
    <row r="332">
      <c r="A332" s="43" t="n">
        <v>39</v>
      </c>
      <c r="B332" s="43" t="inlineStr">
        <is>
          <t>2025-07-18</t>
        </is>
      </c>
      <c r="C332" s="19">
        <f>F331</f>
        <v/>
      </c>
      <c r="D332" s="19">
        <f>MAX(0,C332*$B$283/12)</f>
        <v/>
      </c>
      <c r="E332" s="19">
        <f>MAX(0,MIN(C332,$B$285-D332))</f>
        <v/>
      </c>
      <c r="F332" s="19">
        <f>MAX(0,C332-E332)</f>
        <v/>
      </c>
    </row>
    <row r="333">
      <c r="A333" s="44" t="n">
        <v>40</v>
      </c>
      <c r="B333" s="44" t="inlineStr">
        <is>
          <t>2025-08-18</t>
        </is>
      </c>
      <c r="C333" s="45">
        <f>F332</f>
        <v/>
      </c>
      <c r="D333" s="45">
        <f>MAX(0,C333*$B$283/12)</f>
        <v/>
      </c>
      <c r="E333" s="45">
        <f>MAX(0,MIN(C333,$B$285-D333))</f>
        <v/>
      </c>
      <c r="F333" s="45">
        <f>MAX(0,C333-E333)</f>
        <v/>
      </c>
    </row>
    <row r="334">
      <c r="A334" s="43" t="n">
        <v>41</v>
      </c>
      <c r="B334" s="43" t="inlineStr">
        <is>
          <t>2025-09-18</t>
        </is>
      </c>
      <c r="C334" s="19">
        <f>F333</f>
        <v/>
      </c>
      <c r="D334" s="19">
        <f>MAX(0,C334*$B$283/12)</f>
        <v/>
      </c>
      <c r="E334" s="19">
        <f>MAX(0,MIN(C334,$B$285-D334))</f>
        <v/>
      </c>
      <c r="F334" s="19">
        <f>MAX(0,C334-E334)</f>
        <v/>
      </c>
    </row>
    <row r="335">
      <c r="A335" s="44" t="n">
        <v>42</v>
      </c>
      <c r="B335" s="44" t="inlineStr">
        <is>
          <t>2025-10-18</t>
        </is>
      </c>
      <c r="C335" s="45">
        <f>F334</f>
        <v/>
      </c>
      <c r="D335" s="45">
        <f>MAX(0,C335*$B$283/12)</f>
        <v/>
      </c>
      <c r="E335" s="45">
        <f>MAX(0,MIN(C335,$B$285-D335))</f>
        <v/>
      </c>
      <c r="F335" s="45">
        <f>MAX(0,C335-E335)</f>
        <v/>
      </c>
    </row>
    <row r="336">
      <c r="A336" s="43" t="n">
        <v>43</v>
      </c>
      <c r="B336" s="43" t="inlineStr">
        <is>
          <t>2025-11-18</t>
        </is>
      </c>
      <c r="C336" s="19">
        <f>F335</f>
        <v/>
      </c>
      <c r="D336" s="19">
        <f>MAX(0,C336*$B$283/12)</f>
        <v/>
      </c>
      <c r="E336" s="19">
        <f>MAX(0,MIN(C336,$B$285-D336))</f>
        <v/>
      </c>
      <c r="F336" s="19">
        <f>MAX(0,C336-E336)</f>
        <v/>
      </c>
    </row>
    <row r="337">
      <c r="A337" s="44" t="n">
        <v>44</v>
      </c>
      <c r="B337" s="44" t="inlineStr">
        <is>
          <t>2025-12-18</t>
        </is>
      </c>
      <c r="C337" s="45">
        <f>F336</f>
        <v/>
      </c>
      <c r="D337" s="45">
        <f>MAX(0,C337*$B$283/12)</f>
        <v/>
      </c>
      <c r="E337" s="45">
        <f>MAX(0,MIN(C337,$B$285-D337))</f>
        <v/>
      </c>
      <c r="F337" s="45">
        <f>MAX(0,C337-E337)</f>
        <v/>
      </c>
    </row>
    <row r="338">
      <c r="A338" s="43" t="n">
        <v>45</v>
      </c>
      <c r="B338" s="43" t="inlineStr">
        <is>
          <t>2026-01-18</t>
        </is>
      </c>
      <c r="C338" s="19">
        <f>F337</f>
        <v/>
      </c>
      <c r="D338" s="19">
        <f>MAX(0,C338*$B$283/12)</f>
        <v/>
      </c>
      <c r="E338" s="19">
        <f>MAX(0,MIN(C338,$B$285-D338))</f>
        <v/>
      </c>
      <c r="F338" s="19">
        <f>MAX(0,C338-E338)</f>
        <v/>
      </c>
    </row>
    <row r="339">
      <c r="A339" s="44" t="n">
        <v>46</v>
      </c>
      <c r="B339" s="44" t="inlineStr">
        <is>
          <t>2026-02-18</t>
        </is>
      </c>
      <c r="C339" s="45">
        <f>F338</f>
        <v/>
      </c>
      <c r="D339" s="45">
        <f>MAX(0,C339*$B$283/12)</f>
        <v/>
      </c>
      <c r="E339" s="45">
        <f>MAX(0,MIN(C339,$B$285-D339))</f>
        <v/>
      </c>
      <c r="F339" s="45">
        <f>MAX(0,C339-E339)</f>
        <v/>
      </c>
    </row>
    <row r="340">
      <c r="A340" s="43" t="n">
        <v>47</v>
      </c>
      <c r="B340" s="43" t="inlineStr">
        <is>
          <t>2026-03-18</t>
        </is>
      </c>
      <c r="C340" s="19">
        <f>F339</f>
        <v/>
      </c>
      <c r="D340" s="19">
        <f>MAX(0,C340*$B$283/12)</f>
        <v/>
      </c>
      <c r="E340" s="19">
        <f>MAX(0,MIN(C340,$B$285-D340))</f>
        <v/>
      </c>
      <c r="F340" s="19">
        <f>MAX(0,C340-E340)</f>
        <v/>
      </c>
    </row>
    <row r="341">
      <c r="A341" s="44" t="n">
        <v>48</v>
      </c>
      <c r="B341" s="44" t="inlineStr">
        <is>
          <t>2026-04-18</t>
        </is>
      </c>
      <c r="C341" s="45">
        <f>F340</f>
        <v/>
      </c>
      <c r="D341" s="45">
        <f>MAX(0,C341*$B$283/12)</f>
        <v/>
      </c>
      <c r="E341" s="45">
        <f>MAX(0,MIN(C341,$B$285-D341))</f>
        <v/>
      </c>
      <c r="F341" s="45">
        <f>MAX(0,C341-E341)</f>
        <v/>
      </c>
    </row>
    <row r="342">
      <c r="A342" s="43" t="n">
        <v>49</v>
      </c>
      <c r="B342" s="43" t="inlineStr">
        <is>
          <t>2026-05-18</t>
        </is>
      </c>
      <c r="C342" s="19">
        <f>F341</f>
        <v/>
      </c>
      <c r="D342" s="19">
        <f>MAX(0,C342*$B$283/12)</f>
        <v/>
      </c>
      <c r="E342" s="19">
        <f>MAX(0,MIN(C342,$B$285-D342))</f>
        <v/>
      </c>
      <c r="F342" s="19">
        <f>MAX(0,C342-E342)</f>
        <v/>
      </c>
    </row>
    <row r="343">
      <c r="A343" s="44" t="n">
        <v>50</v>
      </c>
      <c r="B343" s="44" t="inlineStr">
        <is>
          <t>2026-06-18</t>
        </is>
      </c>
      <c r="C343" s="45">
        <f>F342</f>
        <v/>
      </c>
      <c r="D343" s="45">
        <f>MAX(0,C343*$B$283/12)</f>
        <v/>
      </c>
      <c r="E343" s="45">
        <f>MAX(0,MIN(C343,$B$285-D343))</f>
        <v/>
      </c>
      <c r="F343" s="45">
        <f>MAX(0,C343-E343)</f>
        <v/>
      </c>
    </row>
    <row r="344">
      <c r="A344" s="43" t="n">
        <v>51</v>
      </c>
      <c r="B344" s="43" t="inlineStr">
        <is>
          <t>2026-07-18</t>
        </is>
      </c>
      <c r="C344" s="19">
        <f>F343</f>
        <v/>
      </c>
      <c r="D344" s="19">
        <f>MAX(0,C344*$B$283/12)</f>
        <v/>
      </c>
      <c r="E344" s="19">
        <f>MAX(0,MIN(C344,$B$285-D344))</f>
        <v/>
      </c>
      <c r="F344" s="19">
        <f>MAX(0,C344-E344)</f>
        <v/>
      </c>
    </row>
    <row r="345">
      <c r="A345" s="44" t="n">
        <v>52</v>
      </c>
      <c r="B345" s="44" t="inlineStr">
        <is>
          <t>2026-08-18</t>
        </is>
      </c>
      <c r="C345" s="45">
        <f>F344</f>
        <v/>
      </c>
      <c r="D345" s="45">
        <f>MAX(0,C345*$B$283/12)</f>
        <v/>
      </c>
      <c r="E345" s="45">
        <f>MAX(0,MIN(C345,$B$285-D345))</f>
        <v/>
      </c>
      <c r="F345" s="45">
        <f>MAX(0,C345-E345)</f>
        <v/>
      </c>
    </row>
    <row r="346">
      <c r="A346" s="43" t="n">
        <v>53</v>
      </c>
      <c r="B346" s="43" t="inlineStr">
        <is>
          <t>2026-09-18</t>
        </is>
      </c>
      <c r="C346" s="19">
        <f>F345</f>
        <v/>
      </c>
      <c r="D346" s="19">
        <f>MAX(0,C346*$B$283/12)</f>
        <v/>
      </c>
      <c r="E346" s="19">
        <f>MAX(0,MIN(C346,$B$285-D346))</f>
        <v/>
      </c>
      <c r="F346" s="19">
        <f>MAX(0,C346-E346)</f>
        <v/>
      </c>
    </row>
    <row r="347">
      <c r="A347" s="44" t="n">
        <v>54</v>
      </c>
      <c r="B347" s="44" t="inlineStr">
        <is>
          <t>2026-10-18</t>
        </is>
      </c>
      <c r="C347" s="45">
        <f>F346</f>
        <v/>
      </c>
      <c r="D347" s="45">
        <f>MAX(0,C347*$B$283/12)</f>
        <v/>
      </c>
      <c r="E347" s="45">
        <f>MAX(0,MIN(C347,$B$285-D347))</f>
        <v/>
      </c>
      <c r="F347" s="45">
        <f>MAX(0,C347-E347)</f>
        <v/>
      </c>
    </row>
    <row r="348">
      <c r="A348" s="43" t="n">
        <v>55</v>
      </c>
      <c r="B348" s="43" t="inlineStr">
        <is>
          <t>2026-11-18</t>
        </is>
      </c>
      <c r="C348" s="19">
        <f>F347</f>
        <v/>
      </c>
      <c r="D348" s="19">
        <f>MAX(0,C348*$B$283/12)</f>
        <v/>
      </c>
      <c r="E348" s="19">
        <f>MAX(0,MIN(C348,$B$285-D348))</f>
        <v/>
      </c>
      <c r="F348" s="19">
        <f>MAX(0,C348-E348)</f>
        <v/>
      </c>
    </row>
    <row r="349">
      <c r="A349" s="44" t="n">
        <v>56</v>
      </c>
      <c r="B349" s="44" t="inlineStr">
        <is>
          <t>2026-12-18</t>
        </is>
      </c>
      <c r="C349" s="45">
        <f>F348</f>
        <v/>
      </c>
      <c r="D349" s="45">
        <f>MAX(0,C349*$B$283/12)</f>
        <v/>
      </c>
      <c r="E349" s="45">
        <f>MAX(0,MIN(C349,$B$285-D349))</f>
        <v/>
      </c>
      <c r="F349" s="45">
        <f>MAX(0,C349-E349)</f>
        <v/>
      </c>
    </row>
    <row r="350">
      <c r="A350" s="43" t="n">
        <v>57</v>
      </c>
      <c r="B350" s="43" t="inlineStr">
        <is>
          <t>2027-01-18</t>
        </is>
      </c>
      <c r="C350" s="19">
        <f>F349</f>
        <v/>
      </c>
      <c r="D350" s="19">
        <f>MAX(0,C350*$B$283/12)</f>
        <v/>
      </c>
      <c r="E350" s="19">
        <f>MAX(0,MIN(C350,$B$285-D350))</f>
        <v/>
      </c>
      <c r="F350" s="19">
        <f>MAX(0,C350-E350)</f>
        <v/>
      </c>
    </row>
    <row r="351">
      <c r="A351" s="44" t="n">
        <v>58</v>
      </c>
      <c r="B351" s="44" t="inlineStr">
        <is>
          <t>2027-02-18</t>
        </is>
      </c>
      <c r="C351" s="45">
        <f>F350</f>
        <v/>
      </c>
      <c r="D351" s="45">
        <f>MAX(0,C351*$B$283/12)</f>
        <v/>
      </c>
      <c r="E351" s="45">
        <f>MAX(0,MIN(C351,$B$285-D351))</f>
        <v/>
      </c>
      <c r="F351" s="45">
        <f>MAX(0,C351-E351)</f>
        <v/>
      </c>
    </row>
    <row r="352">
      <c r="A352" s="43" t="n">
        <v>59</v>
      </c>
      <c r="B352" s="43" t="inlineStr">
        <is>
          <t>2027-03-18</t>
        </is>
      </c>
      <c r="C352" s="19">
        <f>F351</f>
        <v/>
      </c>
      <c r="D352" s="19">
        <f>MAX(0,C352*$B$283/12)</f>
        <v/>
      </c>
      <c r="E352" s="19">
        <f>MAX(0,MIN(C352,$B$285-D352))</f>
        <v/>
      </c>
      <c r="F352" s="19">
        <f>MAX(0,C352-E352)</f>
        <v/>
      </c>
    </row>
    <row r="353">
      <c r="A353" s="44" t="n">
        <v>60</v>
      </c>
      <c r="B353" s="44" t="inlineStr">
        <is>
          <t>2027-04-18</t>
        </is>
      </c>
      <c r="C353" s="45">
        <f>F352</f>
        <v/>
      </c>
      <c r="D353" s="45">
        <f>MAX(0,C353*$B$283/12)</f>
        <v/>
      </c>
      <c r="E353" s="45">
        <f>MAX(0,MIN(C353,$B$285-D353))</f>
        <v/>
      </c>
      <c r="F353" s="45">
        <f>MAX(0,C353-E353)</f>
        <v/>
      </c>
    </row>
    <row r="354">
      <c r="A354" s="43" t="n">
        <v>61</v>
      </c>
      <c r="B354" s="43" t="inlineStr">
        <is>
          <t>2027-05-18</t>
        </is>
      </c>
      <c r="C354" s="19">
        <f>F353</f>
        <v/>
      </c>
      <c r="D354" s="19">
        <f>MAX(0,C354*$B$283/12)</f>
        <v/>
      </c>
      <c r="E354" s="19">
        <f>MAX(0,MIN(C354,$B$285-D354))</f>
        <v/>
      </c>
      <c r="F354" s="19">
        <f>MAX(0,C354-E354)</f>
        <v/>
      </c>
    </row>
    <row r="355">
      <c r="A355" s="44" t="n">
        <v>62</v>
      </c>
      <c r="B355" s="44" t="inlineStr">
        <is>
          <t>2027-06-18</t>
        </is>
      </c>
      <c r="C355" s="45">
        <f>F354</f>
        <v/>
      </c>
      <c r="D355" s="45">
        <f>MAX(0,C355*$B$283/12)</f>
        <v/>
      </c>
      <c r="E355" s="45">
        <f>MAX(0,MIN(C355,$B$285-D355))</f>
        <v/>
      </c>
      <c r="F355" s="45">
        <f>MAX(0,C355-E355)</f>
        <v/>
      </c>
    </row>
    <row r="356">
      <c r="A356" s="43" t="n">
        <v>63</v>
      </c>
      <c r="B356" s="43" t="inlineStr">
        <is>
          <t>2027-07-18</t>
        </is>
      </c>
      <c r="C356" s="19">
        <f>F355</f>
        <v/>
      </c>
      <c r="D356" s="19">
        <f>MAX(0,C356*$B$283/12)</f>
        <v/>
      </c>
      <c r="E356" s="19">
        <f>MAX(0,MIN(C356,$B$285-D356))</f>
        <v/>
      </c>
      <c r="F356" s="19">
        <f>MAX(0,C356-E356)</f>
        <v/>
      </c>
    </row>
    <row r="357">
      <c r="A357" s="44" t="n">
        <v>64</v>
      </c>
      <c r="B357" s="44" t="inlineStr">
        <is>
          <t>2027-08-18</t>
        </is>
      </c>
      <c r="C357" s="45">
        <f>F356</f>
        <v/>
      </c>
      <c r="D357" s="45">
        <f>MAX(0,C357*$B$283/12)</f>
        <v/>
      </c>
      <c r="E357" s="45">
        <f>MAX(0,MIN(C357,$B$285-D357))</f>
        <v/>
      </c>
      <c r="F357" s="45">
        <f>MAX(0,C357-E357)</f>
        <v/>
      </c>
    </row>
    <row r="358">
      <c r="A358" s="43" t="n">
        <v>65</v>
      </c>
      <c r="B358" s="43" t="inlineStr">
        <is>
          <t>2027-09-18</t>
        </is>
      </c>
      <c r="C358" s="19">
        <f>F357</f>
        <v/>
      </c>
      <c r="D358" s="19">
        <f>MAX(0,C358*$B$283/12)</f>
        <v/>
      </c>
      <c r="E358" s="19">
        <f>MAX(0,MIN(C358,$B$285-D358))</f>
        <v/>
      </c>
      <c r="F358" s="19">
        <f>MAX(0,C358-E358)</f>
        <v/>
      </c>
    </row>
    <row r="359">
      <c r="A359" s="44" t="n">
        <v>66</v>
      </c>
      <c r="B359" s="44" t="inlineStr">
        <is>
          <t>2027-10-18</t>
        </is>
      </c>
      <c r="C359" s="45">
        <f>F358</f>
        <v/>
      </c>
      <c r="D359" s="45">
        <f>MAX(0,C359*$B$283/12)</f>
        <v/>
      </c>
      <c r="E359" s="45">
        <f>MAX(0,MIN(C359,$B$285-D359))</f>
        <v/>
      </c>
      <c r="F359" s="45">
        <f>MAX(0,C359-E359)</f>
        <v/>
      </c>
    </row>
    <row r="360">
      <c r="A360" s="62" t="inlineStr">
        <is>
          <t>TOTALS</t>
        </is>
      </c>
      <c r="B360" s="63" t="n"/>
      <c r="C360" s="63" t="n"/>
      <c r="D360" s="64">
        <f>SUM(D294:D359)</f>
        <v/>
      </c>
      <c r="E360" s="64">
        <f>SUM(E294:E359)</f>
        <v/>
      </c>
      <c r="F360" s="63" t="n"/>
    </row>
    <row r="363">
      <c r="A363" s="15" t="inlineStr">
        <is>
          <t>LOAN 5: 2 T880 DC (June 2022)</t>
        </is>
      </c>
    </row>
    <row r="364">
      <c r="A364" s="20" t="inlineStr">
        <is>
          <t>Loan ID:</t>
        </is>
      </c>
      <c r="B364" s="2" t="inlineStr">
        <is>
          <t>05-2961-005-000-00</t>
        </is>
      </c>
    </row>
    <row r="365">
      <c r="A365" s="20" t="inlineStr">
        <is>
          <t>Account:</t>
        </is>
      </c>
      <c r="B365" s="2" t="inlineStr">
        <is>
          <t>101-0014230-007</t>
        </is>
      </c>
    </row>
    <row r="366">
      <c r="A366" s="20" t="inlineStr">
        <is>
          <t>Opening Balance:</t>
        </is>
      </c>
      <c r="B366" s="3" t="n">
        <v>296410</v>
      </c>
    </row>
    <row r="367">
      <c r="A367" s="20" t="inlineStr">
        <is>
          <t>Annual Rate:</t>
        </is>
      </c>
      <c r="B367" s="4" t="n">
        <v>0.0397</v>
      </c>
    </row>
    <row r="368">
      <c r="A368" s="20" t="inlineStr">
        <is>
          <t>Term Months:</t>
        </is>
      </c>
      <c r="B368" s="2" t="n">
        <v>66</v>
      </c>
    </row>
    <row r="369">
      <c r="A369" s="20" t="inlineStr">
        <is>
          <t>Monthly Payment:</t>
        </is>
      </c>
      <c r="B369" s="3" t="n">
        <v>5014.54</v>
      </c>
    </row>
    <row r="370">
      <c r="A370" s="20" t="inlineStr">
        <is>
          <t>Loan Type:</t>
        </is>
      </c>
      <c r="B370" t="inlineStr">
        <is>
          <t>AMORTIZING</t>
        </is>
      </c>
    </row>
    <row r="371">
      <c r="A371" s="20" t="inlineStr">
        <is>
          <t>Use:</t>
        </is>
      </c>
      <c r="B371" t="inlineStr">
        <is>
          <t>Equipment (Semi trucks - 2 T880 DC)</t>
        </is>
      </c>
    </row>
    <row r="372">
      <c r="A372" s="20" t="inlineStr">
        <is>
          <t>Maturity Date:</t>
        </is>
      </c>
      <c r="B372" s="2" t="inlineStr">
        <is>
          <t>2027-12-01</t>
        </is>
      </c>
    </row>
    <row r="373">
      <c r="A373" s="17" t="inlineStr">
        <is>
          <t>AI ANALYSIS</t>
        </is>
      </c>
      <c r="B373" s="6" t="n"/>
      <c r="C373" s="6" t="n"/>
      <c r="D373" s="6" t="n"/>
      <c r="E373" s="6" t="n"/>
      <c r="F373" s="6" t="n"/>
    </row>
    <row r="374">
      <c r="A374" s="6" t="inlineStr">
        <is>
          <t>Classification:</t>
        </is>
      </c>
      <c r="B374" s="6" t="inlineStr">
        <is>
          <t>Standard equipment term loan with fixed monthly P&amp;I payments</t>
        </is>
      </c>
    </row>
    <row r="375">
      <c r="A375" s="6" t="inlineStr">
        <is>
          <t>Amortization:</t>
        </is>
      </c>
      <c r="B375" s="6" t="inlineStr">
        <is>
          <t>Fully amortizing over 66 months, no balloon payment</t>
        </is>
      </c>
    </row>
    <row r="377">
      <c r="A377" s="23" t="inlineStr">
        <is>
          <t>Month #</t>
        </is>
      </c>
      <c r="B377" s="23" t="inlineStr">
        <is>
          <t>Date</t>
        </is>
      </c>
      <c r="C377" s="23" t="inlineStr">
        <is>
          <t>Opening Balance</t>
        </is>
      </c>
      <c r="D377" s="23" t="inlineStr">
        <is>
          <t>Interest</t>
        </is>
      </c>
      <c r="E377" s="23" t="inlineStr">
        <is>
          <t>Principal</t>
        </is>
      </c>
      <c r="F377" s="23" t="inlineStr">
        <is>
          <t>Closing Balance</t>
        </is>
      </c>
    </row>
    <row r="378">
      <c r="A378" s="43" t="n">
        <v>1</v>
      </c>
      <c r="B378" s="43" t="inlineStr">
        <is>
          <t>2022-06-01</t>
        </is>
      </c>
      <c r="C378" s="19">
        <f>B366</f>
        <v/>
      </c>
      <c r="D378" s="19">
        <f>MAX(0,C378*$B$367/12)</f>
        <v/>
      </c>
      <c r="E378" s="19">
        <f>MAX(0,MIN(C378,$B$369-D378))</f>
        <v/>
      </c>
      <c r="F378" s="19">
        <f>MAX(0,C378-E378)</f>
        <v/>
      </c>
    </row>
    <row r="379">
      <c r="A379" s="44" t="n">
        <v>2</v>
      </c>
      <c r="B379" s="44" t="inlineStr">
        <is>
          <t>2022-07-01</t>
        </is>
      </c>
      <c r="C379" s="45">
        <f>F378</f>
        <v/>
      </c>
      <c r="D379" s="45">
        <f>MAX(0,C379*$B$367/12)</f>
        <v/>
      </c>
      <c r="E379" s="45">
        <f>MAX(0,MIN(C379,$B$369-D379))</f>
        <v/>
      </c>
      <c r="F379" s="45">
        <f>MAX(0,C379-E379)</f>
        <v/>
      </c>
    </row>
    <row r="380">
      <c r="A380" s="43" t="n">
        <v>3</v>
      </c>
      <c r="B380" s="43" t="inlineStr">
        <is>
          <t>2022-08-01</t>
        </is>
      </c>
      <c r="C380" s="19">
        <f>F379</f>
        <v/>
      </c>
      <c r="D380" s="19">
        <f>MAX(0,C380*$B$367/12)</f>
        <v/>
      </c>
      <c r="E380" s="19">
        <f>MAX(0,MIN(C380,$B$369-D380))</f>
        <v/>
      </c>
      <c r="F380" s="19">
        <f>MAX(0,C380-E380)</f>
        <v/>
      </c>
    </row>
    <row r="381">
      <c r="A381" s="44" t="n">
        <v>4</v>
      </c>
      <c r="B381" s="44" t="inlineStr">
        <is>
          <t>2022-09-01</t>
        </is>
      </c>
      <c r="C381" s="45">
        <f>F380</f>
        <v/>
      </c>
      <c r="D381" s="45">
        <f>MAX(0,C381*$B$367/12)</f>
        <v/>
      </c>
      <c r="E381" s="45">
        <f>MAX(0,MIN(C381,$B$369-D381))</f>
        <v/>
      </c>
      <c r="F381" s="45">
        <f>MAX(0,C381-E381)</f>
        <v/>
      </c>
    </row>
    <row r="382">
      <c r="A382" s="43" t="n">
        <v>5</v>
      </c>
      <c r="B382" s="43" t="inlineStr">
        <is>
          <t>2022-10-01</t>
        </is>
      </c>
      <c r="C382" s="19">
        <f>F381</f>
        <v/>
      </c>
      <c r="D382" s="19">
        <f>MAX(0,C382*$B$367/12)</f>
        <v/>
      </c>
      <c r="E382" s="19">
        <f>MAX(0,MIN(C382,$B$369-D382))</f>
        <v/>
      </c>
      <c r="F382" s="19">
        <f>MAX(0,C382-E382)</f>
        <v/>
      </c>
    </row>
    <row r="383">
      <c r="A383" s="44" t="n">
        <v>6</v>
      </c>
      <c r="B383" s="44" t="inlineStr">
        <is>
          <t>2022-11-01</t>
        </is>
      </c>
      <c r="C383" s="45">
        <f>F382</f>
        <v/>
      </c>
      <c r="D383" s="45">
        <f>MAX(0,C383*$B$367/12)</f>
        <v/>
      </c>
      <c r="E383" s="45">
        <f>MAX(0,MIN(C383,$B$369-D383))</f>
        <v/>
      </c>
      <c r="F383" s="45">
        <f>MAX(0,C383-E383)</f>
        <v/>
      </c>
    </row>
    <row r="384">
      <c r="A384" s="43" t="n">
        <v>7</v>
      </c>
      <c r="B384" s="43" t="inlineStr">
        <is>
          <t>2022-12-01</t>
        </is>
      </c>
      <c r="C384" s="19">
        <f>F383</f>
        <v/>
      </c>
      <c r="D384" s="19">
        <f>MAX(0,C384*$B$367/12)</f>
        <v/>
      </c>
      <c r="E384" s="19">
        <f>MAX(0,MIN(C384,$B$369-D384))</f>
        <v/>
      </c>
      <c r="F384" s="19">
        <f>MAX(0,C384-E384)</f>
        <v/>
      </c>
    </row>
    <row r="385">
      <c r="A385" s="44" t="n">
        <v>8</v>
      </c>
      <c r="B385" s="44" t="inlineStr">
        <is>
          <t>2023-01-01</t>
        </is>
      </c>
      <c r="C385" s="45">
        <f>F384</f>
        <v/>
      </c>
      <c r="D385" s="45">
        <f>MAX(0,C385*$B$367/12)</f>
        <v/>
      </c>
      <c r="E385" s="45">
        <f>MAX(0,MIN(C385,$B$369-D385))</f>
        <v/>
      </c>
      <c r="F385" s="45">
        <f>MAX(0,C385-E385)</f>
        <v/>
      </c>
    </row>
    <row r="386">
      <c r="A386" s="43" t="n">
        <v>9</v>
      </c>
      <c r="B386" s="43" t="inlineStr">
        <is>
          <t>2023-02-01</t>
        </is>
      </c>
      <c r="C386" s="19">
        <f>F385</f>
        <v/>
      </c>
      <c r="D386" s="19">
        <f>MAX(0,C386*$B$367/12)</f>
        <v/>
      </c>
      <c r="E386" s="19">
        <f>MAX(0,MIN(C386,$B$369-D386))</f>
        <v/>
      </c>
      <c r="F386" s="19">
        <f>MAX(0,C386-E386)</f>
        <v/>
      </c>
    </row>
    <row r="387">
      <c r="A387" s="44" t="n">
        <v>10</v>
      </c>
      <c r="B387" s="44" t="inlineStr">
        <is>
          <t>2023-03-01</t>
        </is>
      </c>
      <c r="C387" s="45">
        <f>F386</f>
        <v/>
      </c>
      <c r="D387" s="45">
        <f>MAX(0,C387*$B$367/12)</f>
        <v/>
      </c>
      <c r="E387" s="45">
        <f>MAX(0,MIN(C387,$B$369-D387))</f>
        <v/>
      </c>
      <c r="F387" s="45">
        <f>MAX(0,C387-E387)</f>
        <v/>
      </c>
    </row>
    <row r="388">
      <c r="A388" s="43" t="n">
        <v>11</v>
      </c>
      <c r="B388" s="43" t="inlineStr">
        <is>
          <t>2023-04-01</t>
        </is>
      </c>
      <c r="C388" s="19">
        <f>F387</f>
        <v/>
      </c>
      <c r="D388" s="19">
        <f>MAX(0,C388*$B$367/12)</f>
        <v/>
      </c>
      <c r="E388" s="19">
        <f>MAX(0,MIN(C388,$B$369-D388))</f>
        <v/>
      </c>
      <c r="F388" s="19">
        <f>MAX(0,C388-E388)</f>
        <v/>
      </c>
    </row>
    <row r="389">
      <c r="A389" s="44" t="n">
        <v>12</v>
      </c>
      <c r="B389" s="44" t="inlineStr">
        <is>
          <t>2023-05-01</t>
        </is>
      </c>
      <c r="C389" s="45">
        <f>F388</f>
        <v/>
      </c>
      <c r="D389" s="45">
        <f>MAX(0,C389*$B$367/12)</f>
        <v/>
      </c>
      <c r="E389" s="45">
        <f>MAX(0,MIN(C389,$B$369-D389))</f>
        <v/>
      </c>
      <c r="F389" s="45">
        <f>MAX(0,C389-E389)</f>
        <v/>
      </c>
    </row>
    <row r="390">
      <c r="A390" s="43" t="n">
        <v>13</v>
      </c>
      <c r="B390" s="43" t="inlineStr">
        <is>
          <t>2023-06-01</t>
        </is>
      </c>
      <c r="C390" s="19">
        <f>F389</f>
        <v/>
      </c>
      <c r="D390" s="19">
        <f>MAX(0,C390*$B$367/12)</f>
        <v/>
      </c>
      <c r="E390" s="19">
        <f>MAX(0,MIN(C390,$B$369-D390))</f>
        <v/>
      </c>
      <c r="F390" s="19">
        <f>MAX(0,C390-E390)</f>
        <v/>
      </c>
    </row>
    <row r="391">
      <c r="A391" s="44" t="n">
        <v>14</v>
      </c>
      <c r="B391" s="44" t="inlineStr">
        <is>
          <t>2023-07-01</t>
        </is>
      </c>
      <c r="C391" s="45">
        <f>F390</f>
        <v/>
      </c>
      <c r="D391" s="45">
        <f>MAX(0,C391*$B$367/12)</f>
        <v/>
      </c>
      <c r="E391" s="45">
        <f>MAX(0,MIN(C391,$B$369-D391))</f>
        <v/>
      </c>
      <c r="F391" s="45">
        <f>MAX(0,C391-E391)</f>
        <v/>
      </c>
    </row>
    <row r="392">
      <c r="A392" s="43" t="n">
        <v>15</v>
      </c>
      <c r="B392" s="43" t="inlineStr">
        <is>
          <t>2023-08-01</t>
        </is>
      </c>
      <c r="C392" s="19">
        <f>F391</f>
        <v/>
      </c>
      <c r="D392" s="19">
        <f>MAX(0,C392*$B$367/12)</f>
        <v/>
      </c>
      <c r="E392" s="19">
        <f>MAX(0,MIN(C392,$B$369-D392))</f>
        <v/>
      </c>
      <c r="F392" s="19">
        <f>MAX(0,C392-E392)</f>
        <v/>
      </c>
    </row>
    <row r="393">
      <c r="A393" s="44" t="n">
        <v>16</v>
      </c>
      <c r="B393" s="44" t="inlineStr">
        <is>
          <t>2023-09-01</t>
        </is>
      </c>
      <c r="C393" s="45">
        <f>F392</f>
        <v/>
      </c>
      <c r="D393" s="45">
        <f>MAX(0,C393*$B$367/12)</f>
        <v/>
      </c>
      <c r="E393" s="45">
        <f>MAX(0,MIN(C393,$B$369-D393))</f>
        <v/>
      </c>
      <c r="F393" s="45">
        <f>MAX(0,C393-E393)</f>
        <v/>
      </c>
    </row>
    <row r="394">
      <c r="A394" s="43" t="n">
        <v>17</v>
      </c>
      <c r="B394" s="43" t="inlineStr">
        <is>
          <t>2023-10-01</t>
        </is>
      </c>
      <c r="C394" s="19">
        <f>F393</f>
        <v/>
      </c>
      <c r="D394" s="19">
        <f>MAX(0,C394*$B$367/12)</f>
        <v/>
      </c>
      <c r="E394" s="19">
        <f>MAX(0,MIN(C394,$B$369-D394))</f>
        <v/>
      </c>
      <c r="F394" s="19">
        <f>MAX(0,C394-E394)</f>
        <v/>
      </c>
    </row>
    <row r="395">
      <c r="A395" s="44" t="n">
        <v>18</v>
      </c>
      <c r="B395" s="44" t="inlineStr">
        <is>
          <t>2023-11-01</t>
        </is>
      </c>
      <c r="C395" s="45">
        <f>F394</f>
        <v/>
      </c>
      <c r="D395" s="45">
        <f>MAX(0,C395*$B$367/12)</f>
        <v/>
      </c>
      <c r="E395" s="45">
        <f>MAX(0,MIN(C395,$B$369-D395))</f>
        <v/>
      </c>
      <c r="F395" s="45">
        <f>MAX(0,C395-E395)</f>
        <v/>
      </c>
    </row>
    <row r="396">
      <c r="A396" s="43" t="n">
        <v>19</v>
      </c>
      <c r="B396" s="43" t="inlineStr">
        <is>
          <t>2023-12-01</t>
        </is>
      </c>
      <c r="C396" s="19">
        <f>F395</f>
        <v/>
      </c>
      <c r="D396" s="19">
        <f>MAX(0,C396*$B$367/12)</f>
        <v/>
      </c>
      <c r="E396" s="19">
        <f>MAX(0,MIN(C396,$B$369-D396))</f>
        <v/>
      </c>
      <c r="F396" s="19">
        <f>MAX(0,C396-E396)</f>
        <v/>
      </c>
    </row>
    <row r="397">
      <c r="A397" s="44" t="n">
        <v>20</v>
      </c>
      <c r="B397" s="44" t="inlineStr">
        <is>
          <t>2024-01-01</t>
        </is>
      </c>
      <c r="C397" s="45">
        <f>F396</f>
        <v/>
      </c>
      <c r="D397" s="45">
        <f>MAX(0,C397*$B$367/12)</f>
        <v/>
      </c>
      <c r="E397" s="45">
        <f>MAX(0,MIN(C397,$B$369-D397))</f>
        <v/>
      </c>
      <c r="F397" s="45">
        <f>MAX(0,C397-E397)</f>
        <v/>
      </c>
    </row>
    <row r="398">
      <c r="A398" s="43" t="n">
        <v>21</v>
      </c>
      <c r="B398" s="43" t="inlineStr">
        <is>
          <t>2024-02-01</t>
        </is>
      </c>
      <c r="C398" s="19">
        <f>F397</f>
        <v/>
      </c>
      <c r="D398" s="19">
        <f>MAX(0,C398*$B$367/12)</f>
        <v/>
      </c>
      <c r="E398" s="19">
        <f>MAX(0,MIN(C398,$B$369-D398))</f>
        <v/>
      </c>
      <c r="F398" s="19">
        <f>MAX(0,C398-E398)</f>
        <v/>
      </c>
    </row>
    <row r="399">
      <c r="A399" s="44" t="n">
        <v>22</v>
      </c>
      <c r="B399" s="44" t="inlineStr">
        <is>
          <t>2024-03-01</t>
        </is>
      </c>
      <c r="C399" s="45">
        <f>F398</f>
        <v/>
      </c>
      <c r="D399" s="45">
        <f>MAX(0,C399*$B$367/12)</f>
        <v/>
      </c>
      <c r="E399" s="45">
        <f>MAX(0,MIN(C399,$B$369-D399))</f>
        <v/>
      </c>
      <c r="F399" s="45">
        <f>MAX(0,C399-E399)</f>
        <v/>
      </c>
    </row>
    <row r="400">
      <c r="A400" s="43" t="n">
        <v>23</v>
      </c>
      <c r="B400" s="43" t="inlineStr">
        <is>
          <t>2024-04-01</t>
        </is>
      </c>
      <c r="C400" s="19">
        <f>F399</f>
        <v/>
      </c>
      <c r="D400" s="19">
        <f>MAX(0,C400*$B$367/12)</f>
        <v/>
      </c>
      <c r="E400" s="19">
        <f>MAX(0,MIN(C400,$B$369-D400))</f>
        <v/>
      </c>
      <c r="F400" s="19">
        <f>MAX(0,C400-E400)</f>
        <v/>
      </c>
    </row>
    <row r="401">
      <c r="A401" s="44" t="n">
        <v>24</v>
      </c>
      <c r="B401" s="44" t="inlineStr">
        <is>
          <t>2024-05-01</t>
        </is>
      </c>
      <c r="C401" s="45">
        <f>F400</f>
        <v/>
      </c>
      <c r="D401" s="45">
        <f>MAX(0,C401*$B$367/12)</f>
        <v/>
      </c>
      <c r="E401" s="45">
        <f>MAX(0,MIN(C401,$B$369-D401))</f>
        <v/>
      </c>
      <c r="F401" s="45">
        <f>MAX(0,C401-E401)</f>
        <v/>
      </c>
    </row>
    <row r="402">
      <c r="A402" s="43" t="n">
        <v>25</v>
      </c>
      <c r="B402" s="43" t="inlineStr">
        <is>
          <t>2024-06-01</t>
        </is>
      </c>
      <c r="C402" s="19">
        <f>F401</f>
        <v/>
      </c>
      <c r="D402" s="19">
        <f>MAX(0,C402*$B$367/12)</f>
        <v/>
      </c>
      <c r="E402" s="19">
        <f>MAX(0,MIN(C402,$B$369-D402))</f>
        <v/>
      </c>
      <c r="F402" s="19">
        <f>MAX(0,C402-E402)</f>
        <v/>
      </c>
    </row>
    <row r="403">
      <c r="A403" s="44" t="n">
        <v>26</v>
      </c>
      <c r="B403" s="44" t="inlineStr">
        <is>
          <t>2024-07-01</t>
        </is>
      </c>
      <c r="C403" s="45">
        <f>F402</f>
        <v/>
      </c>
      <c r="D403" s="45">
        <f>MAX(0,C403*$B$367/12)</f>
        <v/>
      </c>
      <c r="E403" s="45">
        <f>MAX(0,MIN(C403,$B$369-D403))</f>
        <v/>
      </c>
      <c r="F403" s="45">
        <f>MAX(0,C403-E403)</f>
        <v/>
      </c>
    </row>
    <row r="404">
      <c r="A404" s="43" t="n">
        <v>27</v>
      </c>
      <c r="B404" s="43" t="inlineStr">
        <is>
          <t>2024-08-01</t>
        </is>
      </c>
      <c r="C404" s="19">
        <f>F403</f>
        <v/>
      </c>
      <c r="D404" s="19">
        <f>MAX(0,C404*$B$367/12)</f>
        <v/>
      </c>
      <c r="E404" s="19">
        <f>MAX(0,MIN(C404,$B$369-D404))</f>
        <v/>
      </c>
      <c r="F404" s="19">
        <f>MAX(0,C404-E404)</f>
        <v/>
      </c>
    </row>
    <row r="405">
      <c r="A405" s="44" t="n">
        <v>28</v>
      </c>
      <c r="B405" s="44" t="inlineStr">
        <is>
          <t>2024-09-01</t>
        </is>
      </c>
      <c r="C405" s="45">
        <f>F404</f>
        <v/>
      </c>
      <c r="D405" s="45">
        <f>MAX(0,C405*$B$367/12)</f>
        <v/>
      </c>
      <c r="E405" s="45">
        <f>MAX(0,MIN(C405,$B$369-D405))</f>
        <v/>
      </c>
      <c r="F405" s="45">
        <f>MAX(0,C405-E405)</f>
        <v/>
      </c>
    </row>
    <row r="406">
      <c r="A406" s="43" t="n">
        <v>29</v>
      </c>
      <c r="B406" s="43" t="inlineStr">
        <is>
          <t>2024-10-01</t>
        </is>
      </c>
      <c r="C406" s="19">
        <f>F405</f>
        <v/>
      </c>
      <c r="D406" s="19">
        <f>MAX(0,C406*$B$367/12)</f>
        <v/>
      </c>
      <c r="E406" s="19">
        <f>MAX(0,MIN(C406,$B$369-D406))</f>
        <v/>
      </c>
      <c r="F406" s="19">
        <f>MAX(0,C406-E406)</f>
        <v/>
      </c>
    </row>
    <row r="407">
      <c r="A407" s="44" t="n">
        <v>30</v>
      </c>
      <c r="B407" s="44" t="inlineStr">
        <is>
          <t>2024-11-01</t>
        </is>
      </c>
      <c r="C407" s="45">
        <f>F406</f>
        <v/>
      </c>
      <c r="D407" s="45">
        <f>MAX(0,C407*$B$367/12)</f>
        <v/>
      </c>
      <c r="E407" s="45">
        <f>MAX(0,MIN(C407,$B$369-D407))</f>
        <v/>
      </c>
      <c r="F407" s="45">
        <f>MAX(0,C407-E407)</f>
        <v/>
      </c>
    </row>
    <row r="408">
      <c r="A408" s="43" t="n">
        <v>31</v>
      </c>
      <c r="B408" s="43" t="inlineStr">
        <is>
          <t>2024-12-01</t>
        </is>
      </c>
      <c r="C408" s="19">
        <f>F407</f>
        <v/>
      </c>
      <c r="D408" s="19">
        <f>MAX(0,C408*$B$367/12)</f>
        <v/>
      </c>
      <c r="E408" s="19">
        <f>MAX(0,MIN(C408,$B$369-D408))</f>
        <v/>
      </c>
      <c r="F408" s="19">
        <f>MAX(0,C408-E408)</f>
        <v/>
      </c>
    </row>
    <row r="409">
      <c r="A409" s="44" t="n">
        <v>32</v>
      </c>
      <c r="B409" s="44" t="inlineStr">
        <is>
          <t>2025-01-01</t>
        </is>
      </c>
      <c r="C409" s="45">
        <f>F408</f>
        <v/>
      </c>
      <c r="D409" s="45">
        <f>MAX(0,C409*$B$367/12)</f>
        <v/>
      </c>
      <c r="E409" s="45">
        <f>MAX(0,MIN(C409,$B$369-D409))</f>
        <v/>
      </c>
      <c r="F409" s="45">
        <f>MAX(0,C409-E409)</f>
        <v/>
      </c>
    </row>
    <row r="410">
      <c r="A410" s="43" t="n">
        <v>33</v>
      </c>
      <c r="B410" s="43" t="inlineStr">
        <is>
          <t>2025-02-01</t>
        </is>
      </c>
      <c r="C410" s="19">
        <f>F409</f>
        <v/>
      </c>
      <c r="D410" s="19">
        <f>MAX(0,C410*$B$367/12)</f>
        <v/>
      </c>
      <c r="E410" s="19">
        <f>MAX(0,MIN(C410,$B$369-D410))</f>
        <v/>
      </c>
      <c r="F410" s="19">
        <f>MAX(0,C410-E410)</f>
        <v/>
      </c>
    </row>
    <row r="411">
      <c r="A411" s="44" t="n">
        <v>34</v>
      </c>
      <c r="B411" s="44" t="inlineStr">
        <is>
          <t>2025-03-01</t>
        </is>
      </c>
      <c r="C411" s="45">
        <f>F410</f>
        <v/>
      </c>
      <c r="D411" s="45">
        <f>MAX(0,C411*$B$367/12)</f>
        <v/>
      </c>
      <c r="E411" s="45">
        <f>MAX(0,MIN(C411,$B$369-D411))</f>
        <v/>
      </c>
      <c r="F411" s="45">
        <f>MAX(0,C411-E411)</f>
        <v/>
      </c>
    </row>
    <row r="412">
      <c r="A412" s="43" t="n">
        <v>35</v>
      </c>
      <c r="B412" s="43" t="inlineStr">
        <is>
          <t>2025-04-01</t>
        </is>
      </c>
      <c r="C412" s="19">
        <f>F411</f>
        <v/>
      </c>
      <c r="D412" s="19">
        <f>MAX(0,C412*$B$367/12)</f>
        <v/>
      </c>
      <c r="E412" s="19">
        <f>MAX(0,MIN(C412,$B$369-D412))</f>
        <v/>
      </c>
      <c r="F412" s="19">
        <f>MAX(0,C412-E412)</f>
        <v/>
      </c>
    </row>
    <row r="413">
      <c r="A413" s="44" t="n">
        <v>36</v>
      </c>
      <c r="B413" s="44" t="inlineStr">
        <is>
          <t>2025-05-01</t>
        </is>
      </c>
      <c r="C413" s="45">
        <f>F412</f>
        <v/>
      </c>
      <c r="D413" s="45">
        <f>MAX(0,C413*$B$367/12)</f>
        <v/>
      </c>
      <c r="E413" s="45">
        <f>MAX(0,MIN(C413,$B$369-D413))</f>
        <v/>
      </c>
      <c r="F413" s="45">
        <f>MAX(0,C413-E413)</f>
        <v/>
      </c>
    </row>
    <row r="414">
      <c r="A414" s="43" t="n">
        <v>37</v>
      </c>
      <c r="B414" s="43" t="inlineStr">
        <is>
          <t>2025-06-01</t>
        </is>
      </c>
      <c r="C414" s="19">
        <f>F413</f>
        <v/>
      </c>
      <c r="D414" s="19">
        <f>MAX(0,C414*$B$367/12)</f>
        <v/>
      </c>
      <c r="E414" s="19">
        <f>MAX(0,MIN(C414,$B$369-D414))</f>
        <v/>
      </c>
      <c r="F414" s="19">
        <f>MAX(0,C414-E414)</f>
        <v/>
      </c>
    </row>
    <row r="415">
      <c r="A415" s="44" t="n">
        <v>38</v>
      </c>
      <c r="B415" s="44" t="inlineStr">
        <is>
          <t>2025-07-01</t>
        </is>
      </c>
      <c r="C415" s="45">
        <f>F414</f>
        <v/>
      </c>
      <c r="D415" s="45">
        <f>MAX(0,C415*$B$367/12)</f>
        <v/>
      </c>
      <c r="E415" s="45">
        <f>MAX(0,MIN(C415,$B$369-D415))</f>
        <v/>
      </c>
      <c r="F415" s="45">
        <f>MAX(0,C415-E415)</f>
        <v/>
      </c>
    </row>
    <row r="416">
      <c r="A416" s="43" t="n">
        <v>39</v>
      </c>
      <c r="B416" s="43" t="inlineStr">
        <is>
          <t>2025-08-01</t>
        </is>
      </c>
      <c r="C416" s="19">
        <f>F415</f>
        <v/>
      </c>
      <c r="D416" s="19">
        <f>MAX(0,C416*$B$367/12)</f>
        <v/>
      </c>
      <c r="E416" s="19">
        <f>MAX(0,MIN(C416,$B$369-D416))</f>
        <v/>
      </c>
      <c r="F416" s="19">
        <f>MAX(0,C416-E416)</f>
        <v/>
      </c>
    </row>
    <row r="417">
      <c r="A417" s="44" t="n">
        <v>40</v>
      </c>
      <c r="B417" s="44" t="inlineStr">
        <is>
          <t>2025-09-01</t>
        </is>
      </c>
      <c r="C417" s="45">
        <f>F416</f>
        <v/>
      </c>
      <c r="D417" s="45">
        <f>MAX(0,C417*$B$367/12)</f>
        <v/>
      </c>
      <c r="E417" s="45">
        <f>MAX(0,MIN(C417,$B$369-D417))</f>
        <v/>
      </c>
      <c r="F417" s="45">
        <f>MAX(0,C417-E417)</f>
        <v/>
      </c>
    </row>
    <row r="418">
      <c r="A418" s="43" t="n">
        <v>41</v>
      </c>
      <c r="B418" s="43" t="inlineStr">
        <is>
          <t>2025-10-01</t>
        </is>
      </c>
      <c r="C418" s="19">
        <f>F417</f>
        <v/>
      </c>
      <c r="D418" s="19">
        <f>MAX(0,C418*$B$367/12)</f>
        <v/>
      </c>
      <c r="E418" s="19">
        <f>MAX(0,MIN(C418,$B$369-D418))</f>
        <v/>
      </c>
      <c r="F418" s="19">
        <f>MAX(0,C418-E418)</f>
        <v/>
      </c>
    </row>
    <row r="419">
      <c r="A419" s="44" t="n">
        <v>42</v>
      </c>
      <c r="B419" s="44" t="inlineStr">
        <is>
          <t>2025-11-01</t>
        </is>
      </c>
      <c r="C419" s="45">
        <f>F418</f>
        <v/>
      </c>
      <c r="D419" s="45">
        <f>MAX(0,C419*$B$367/12)</f>
        <v/>
      </c>
      <c r="E419" s="45">
        <f>MAX(0,MIN(C419,$B$369-D419))</f>
        <v/>
      </c>
      <c r="F419" s="45">
        <f>MAX(0,C419-E419)</f>
        <v/>
      </c>
    </row>
    <row r="420">
      <c r="A420" s="43" t="n">
        <v>43</v>
      </c>
      <c r="B420" s="43" t="inlineStr">
        <is>
          <t>2025-12-01</t>
        </is>
      </c>
      <c r="C420" s="19">
        <f>F419</f>
        <v/>
      </c>
      <c r="D420" s="19">
        <f>MAX(0,C420*$B$367/12)</f>
        <v/>
      </c>
      <c r="E420" s="19">
        <f>MAX(0,MIN(C420,$B$369-D420))</f>
        <v/>
      </c>
      <c r="F420" s="19">
        <f>MAX(0,C420-E420)</f>
        <v/>
      </c>
    </row>
    <row r="421">
      <c r="A421" s="44" t="n">
        <v>44</v>
      </c>
      <c r="B421" s="44" t="inlineStr">
        <is>
          <t>2026-01-01</t>
        </is>
      </c>
      <c r="C421" s="45">
        <f>F420</f>
        <v/>
      </c>
      <c r="D421" s="45">
        <f>MAX(0,C421*$B$367/12)</f>
        <v/>
      </c>
      <c r="E421" s="45">
        <f>MAX(0,MIN(C421,$B$369-D421))</f>
        <v/>
      </c>
      <c r="F421" s="45">
        <f>MAX(0,C421-E421)</f>
        <v/>
      </c>
    </row>
    <row r="422">
      <c r="A422" s="43" t="n">
        <v>45</v>
      </c>
      <c r="B422" s="43" t="inlineStr">
        <is>
          <t>2026-02-01</t>
        </is>
      </c>
      <c r="C422" s="19">
        <f>F421</f>
        <v/>
      </c>
      <c r="D422" s="19">
        <f>MAX(0,C422*$B$367/12)</f>
        <v/>
      </c>
      <c r="E422" s="19">
        <f>MAX(0,MIN(C422,$B$369-D422))</f>
        <v/>
      </c>
      <c r="F422" s="19">
        <f>MAX(0,C422-E422)</f>
        <v/>
      </c>
    </row>
    <row r="423">
      <c r="A423" s="44" t="n">
        <v>46</v>
      </c>
      <c r="B423" s="44" t="inlineStr">
        <is>
          <t>2026-03-01</t>
        </is>
      </c>
      <c r="C423" s="45">
        <f>F422</f>
        <v/>
      </c>
      <c r="D423" s="45">
        <f>MAX(0,C423*$B$367/12)</f>
        <v/>
      </c>
      <c r="E423" s="45">
        <f>MAX(0,MIN(C423,$B$369-D423))</f>
        <v/>
      </c>
      <c r="F423" s="45">
        <f>MAX(0,C423-E423)</f>
        <v/>
      </c>
    </row>
    <row r="424">
      <c r="A424" s="43" t="n">
        <v>47</v>
      </c>
      <c r="B424" s="43" t="inlineStr">
        <is>
          <t>2026-04-01</t>
        </is>
      </c>
      <c r="C424" s="19">
        <f>F423</f>
        <v/>
      </c>
      <c r="D424" s="19">
        <f>MAX(0,C424*$B$367/12)</f>
        <v/>
      </c>
      <c r="E424" s="19">
        <f>MAX(0,MIN(C424,$B$369-D424))</f>
        <v/>
      </c>
      <c r="F424" s="19">
        <f>MAX(0,C424-E424)</f>
        <v/>
      </c>
    </row>
    <row r="425">
      <c r="A425" s="44" t="n">
        <v>48</v>
      </c>
      <c r="B425" s="44" t="inlineStr">
        <is>
          <t>2026-05-01</t>
        </is>
      </c>
      <c r="C425" s="45">
        <f>F424</f>
        <v/>
      </c>
      <c r="D425" s="45">
        <f>MAX(0,C425*$B$367/12)</f>
        <v/>
      </c>
      <c r="E425" s="45">
        <f>MAX(0,MIN(C425,$B$369-D425))</f>
        <v/>
      </c>
      <c r="F425" s="45">
        <f>MAX(0,C425-E425)</f>
        <v/>
      </c>
    </row>
    <row r="426">
      <c r="A426" s="43" t="n">
        <v>49</v>
      </c>
      <c r="B426" s="43" t="inlineStr">
        <is>
          <t>2026-06-01</t>
        </is>
      </c>
      <c r="C426" s="19">
        <f>F425</f>
        <v/>
      </c>
      <c r="D426" s="19">
        <f>MAX(0,C426*$B$367/12)</f>
        <v/>
      </c>
      <c r="E426" s="19">
        <f>MAX(0,MIN(C426,$B$369-D426))</f>
        <v/>
      </c>
      <c r="F426" s="19">
        <f>MAX(0,C426-E426)</f>
        <v/>
      </c>
    </row>
    <row r="427">
      <c r="A427" s="44" t="n">
        <v>50</v>
      </c>
      <c r="B427" s="44" t="inlineStr">
        <is>
          <t>2026-07-01</t>
        </is>
      </c>
      <c r="C427" s="45">
        <f>F426</f>
        <v/>
      </c>
      <c r="D427" s="45">
        <f>MAX(0,C427*$B$367/12)</f>
        <v/>
      </c>
      <c r="E427" s="45">
        <f>MAX(0,MIN(C427,$B$369-D427))</f>
        <v/>
      </c>
      <c r="F427" s="45">
        <f>MAX(0,C427-E427)</f>
        <v/>
      </c>
    </row>
    <row r="428">
      <c r="A428" s="43" t="n">
        <v>51</v>
      </c>
      <c r="B428" s="43" t="inlineStr">
        <is>
          <t>2026-08-01</t>
        </is>
      </c>
      <c r="C428" s="19">
        <f>F427</f>
        <v/>
      </c>
      <c r="D428" s="19">
        <f>MAX(0,C428*$B$367/12)</f>
        <v/>
      </c>
      <c r="E428" s="19">
        <f>MAX(0,MIN(C428,$B$369-D428))</f>
        <v/>
      </c>
      <c r="F428" s="19">
        <f>MAX(0,C428-E428)</f>
        <v/>
      </c>
    </row>
    <row r="429">
      <c r="A429" s="44" t="n">
        <v>52</v>
      </c>
      <c r="B429" s="44" t="inlineStr">
        <is>
          <t>2026-09-01</t>
        </is>
      </c>
      <c r="C429" s="45">
        <f>F428</f>
        <v/>
      </c>
      <c r="D429" s="45">
        <f>MAX(0,C429*$B$367/12)</f>
        <v/>
      </c>
      <c r="E429" s="45">
        <f>MAX(0,MIN(C429,$B$369-D429))</f>
        <v/>
      </c>
      <c r="F429" s="45">
        <f>MAX(0,C429-E429)</f>
        <v/>
      </c>
    </row>
    <row r="430">
      <c r="A430" s="43" t="n">
        <v>53</v>
      </c>
      <c r="B430" s="43" t="inlineStr">
        <is>
          <t>2026-10-01</t>
        </is>
      </c>
      <c r="C430" s="19">
        <f>F429</f>
        <v/>
      </c>
      <c r="D430" s="19">
        <f>MAX(0,C430*$B$367/12)</f>
        <v/>
      </c>
      <c r="E430" s="19">
        <f>MAX(0,MIN(C430,$B$369-D430))</f>
        <v/>
      </c>
      <c r="F430" s="19">
        <f>MAX(0,C430-E430)</f>
        <v/>
      </c>
    </row>
    <row r="431">
      <c r="A431" s="44" t="n">
        <v>54</v>
      </c>
      <c r="B431" s="44" t="inlineStr">
        <is>
          <t>2026-11-01</t>
        </is>
      </c>
      <c r="C431" s="45">
        <f>F430</f>
        <v/>
      </c>
      <c r="D431" s="45">
        <f>MAX(0,C431*$B$367/12)</f>
        <v/>
      </c>
      <c r="E431" s="45">
        <f>MAX(0,MIN(C431,$B$369-D431))</f>
        <v/>
      </c>
      <c r="F431" s="45">
        <f>MAX(0,C431-E431)</f>
        <v/>
      </c>
    </row>
    <row r="432">
      <c r="A432" s="43" t="n">
        <v>55</v>
      </c>
      <c r="B432" s="43" t="inlineStr">
        <is>
          <t>2026-12-01</t>
        </is>
      </c>
      <c r="C432" s="19">
        <f>F431</f>
        <v/>
      </c>
      <c r="D432" s="19">
        <f>MAX(0,C432*$B$367/12)</f>
        <v/>
      </c>
      <c r="E432" s="19">
        <f>MAX(0,MIN(C432,$B$369-D432))</f>
        <v/>
      </c>
      <c r="F432" s="19">
        <f>MAX(0,C432-E432)</f>
        <v/>
      </c>
    </row>
    <row r="433">
      <c r="A433" s="44" t="n">
        <v>56</v>
      </c>
      <c r="B433" s="44" t="inlineStr">
        <is>
          <t>2027-01-01</t>
        </is>
      </c>
      <c r="C433" s="45">
        <f>F432</f>
        <v/>
      </c>
      <c r="D433" s="45">
        <f>MAX(0,C433*$B$367/12)</f>
        <v/>
      </c>
      <c r="E433" s="45">
        <f>MAX(0,MIN(C433,$B$369-D433))</f>
        <v/>
      </c>
      <c r="F433" s="45">
        <f>MAX(0,C433-E433)</f>
        <v/>
      </c>
    </row>
    <row r="434">
      <c r="A434" s="43" t="n">
        <v>57</v>
      </c>
      <c r="B434" s="43" t="inlineStr">
        <is>
          <t>2027-02-01</t>
        </is>
      </c>
      <c r="C434" s="19">
        <f>F433</f>
        <v/>
      </c>
      <c r="D434" s="19">
        <f>MAX(0,C434*$B$367/12)</f>
        <v/>
      </c>
      <c r="E434" s="19">
        <f>MAX(0,MIN(C434,$B$369-D434))</f>
        <v/>
      </c>
      <c r="F434" s="19">
        <f>MAX(0,C434-E434)</f>
        <v/>
      </c>
    </row>
    <row r="435">
      <c r="A435" s="44" t="n">
        <v>58</v>
      </c>
      <c r="B435" s="44" t="inlineStr">
        <is>
          <t>2027-03-01</t>
        </is>
      </c>
      <c r="C435" s="45">
        <f>F434</f>
        <v/>
      </c>
      <c r="D435" s="45">
        <f>MAX(0,C435*$B$367/12)</f>
        <v/>
      </c>
      <c r="E435" s="45">
        <f>MAX(0,MIN(C435,$B$369-D435))</f>
        <v/>
      </c>
      <c r="F435" s="45">
        <f>MAX(0,C435-E435)</f>
        <v/>
      </c>
    </row>
    <row r="436">
      <c r="A436" s="43" t="n">
        <v>59</v>
      </c>
      <c r="B436" s="43" t="inlineStr">
        <is>
          <t>2027-04-01</t>
        </is>
      </c>
      <c r="C436" s="19">
        <f>F435</f>
        <v/>
      </c>
      <c r="D436" s="19">
        <f>MAX(0,C436*$B$367/12)</f>
        <v/>
      </c>
      <c r="E436" s="19">
        <f>MAX(0,MIN(C436,$B$369-D436))</f>
        <v/>
      </c>
      <c r="F436" s="19">
        <f>MAX(0,C436-E436)</f>
        <v/>
      </c>
    </row>
    <row r="437">
      <c r="A437" s="44" t="n">
        <v>60</v>
      </c>
      <c r="B437" s="44" t="inlineStr">
        <is>
          <t>2027-05-01</t>
        </is>
      </c>
      <c r="C437" s="45">
        <f>F436</f>
        <v/>
      </c>
      <c r="D437" s="45">
        <f>MAX(0,C437*$B$367/12)</f>
        <v/>
      </c>
      <c r="E437" s="45">
        <f>MAX(0,MIN(C437,$B$369-D437))</f>
        <v/>
      </c>
      <c r="F437" s="45">
        <f>MAX(0,C437-E437)</f>
        <v/>
      </c>
    </row>
    <row r="438">
      <c r="A438" s="43" t="n">
        <v>61</v>
      </c>
      <c r="B438" s="43" t="inlineStr">
        <is>
          <t>2027-06-01</t>
        </is>
      </c>
      <c r="C438" s="19">
        <f>F437</f>
        <v/>
      </c>
      <c r="D438" s="19">
        <f>MAX(0,C438*$B$367/12)</f>
        <v/>
      </c>
      <c r="E438" s="19">
        <f>MAX(0,MIN(C438,$B$369-D438))</f>
        <v/>
      </c>
      <c r="F438" s="19">
        <f>MAX(0,C438-E438)</f>
        <v/>
      </c>
    </row>
    <row r="439">
      <c r="A439" s="44" t="n">
        <v>62</v>
      </c>
      <c r="B439" s="44" t="inlineStr">
        <is>
          <t>2027-07-01</t>
        </is>
      </c>
      <c r="C439" s="45">
        <f>F438</f>
        <v/>
      </c>
      <c r="D439" s="45">
        <f>MAX(0,C439*$B$367/12)</f>
        <v/>
      </c>
      <c r="E439" s="45">
        <f>MAX(0,MIN(C439,$B$369-D439))</f>
        <v/>
      </c>
      <c r="F439" s="45">
        <f>MAX(0,C439-E439)</f>
        <v/>
      </c>
    </row>
    <row r="440">
      <c r="A440" s="43" t="n">
        <v>63</v>
      </c>
      <c r="B440" s="43" t="inlineStr">
        <is>
          <t>2027-08-01</t>
        </is>
      </c>
      <c r="C440" s="19">
        <f>F439</f>
        <v/>
      </c>
      <c r="D440" s="19">
        <f>MAX(0,C440*$B$367/12)</f>
        <v/>
      </c>
      <c r="E440" s="19">
        <f>MAX(0,MIN(C440,$B$369-D440))</f>
        <v/>
      </c>
      <c r="F440" s="19">
        <f>MAX(0,C440-E440)</f>
        <v/>
      </c>
    </row>
    <row r="441">
      <c r="A441" s="44" t="n">
        <v>64</v>
      </c>
      <c r="B441" s="44" t="inlineStr">
        <is>
          <t>2027-09-01</t>
        </is>
      </c>
      <c r="C441" s="45">
        <f>F440</f>
        <v/>
      </c>
      <c r="D441" s="45">
        <f>MAX(0,C441*$B$367/12)</f>
        <v/>
      </c>
      <c r="E441" s="45">
        <f>MAX(0,MIN(C441,$B$369-D441))</f>
        <v/>
      </c>
      <c r="F441" s="45">
        <f>MAX(0,C441-E441)</f>
        <v/>
      </c>
    </row>
    <row r="442">
      <c r="A442" s="43" t="n">
        <v>65</v>
      </c>
      <c r="B442" s="43" t="inlineStr">
        <is>
          <t>2027-10-01</t>
        </is>
      </c>
      <c r="C442" s="19">
        <f>F441</f>
        <v/>
      </c>
      <c r="D442" s="19">
        <f>MAX(0,C442*$B$367/12)</f>
        <v/>
      </c>
      <c r="E442" s="19">
        <f>MAX(0,MIN(C442,$B$369-D442))</f>
        <v/>
      </c>
      <c r="F442" s="19">
        <f>MAX(0,C442-E442)</f>
        <v/>
      </c>
    </row>
    <row r="443">
      <c r="A443" s="44" t="n">
        <v>66</v>
      </c>
      <c r="B443" s="44" t="inlineStr">
        <is>
          <t>2027-11-01</t>
        </is>
      </c>
      <c r="C443" s="45">
        <f>F442</f>
        <v/>
      </c>
      <c r="D443" s="45">
        <f>MAX(0,C443*$B$367/12)</f>
        <v/>
      </c>
      <c r="E443" s="45">
        <f>MAX(0,MIN(C443,$B$369-D443))</f>
        <v/>
      </c>
      <c r="F443" s="45">
        <f>MAX(0,C443-E443)</f>
        <v/>
      </c>
    </row>
    <row r="444">
      <c r="A444" s="62" t="inlineStr">
        <is>
          <t>TOTALS</t>
        </is>
      </c>
      <c r="B444" s="63" t="n"/>
      <c r="C444" s="63" t="n"/>
      <c r="D444" s="64">
        <f>SUM(D378:D443)</f>
        <v/>
      </c>
      <c r="E444" s="64">
        <f>SUM(E378:E443)</f>
        <v/>
      </c>
      <c r="F444" s="63" t="n"/>
    </row>
  </sheetData>
  <mergeCells count="6">
    <mergeCell ref="A363:F363"/>
    <mergeCell ref="A93:F93"/>
    <mergeCell ref="A1:F1"/>
    <mergeCell ref="A9:F9"/>
    <mergeCell ref="A195:F195"/>
    <mergeCell ref="A279:F279"/>
  </mergeCells>
  <pageMargins left="0.75" right="0.75" top="1" bottom="1" header="0.5" footer="0.5"/>
  <legacyDrawing xmlns:r="http://schemas.openxmlformats.org/officeDocument/2006/relationships" r:id="anysvml"/>
</worksheet>
</file>

<file path=xl/worksheets/sheet16.xml><?xml version="1.0" encoding="utf-8"?>
<worksheet xmlns="http://schemas.openxmlformats.org/spreadsheetml/2006/main">
  <sheetPr>
    <tabColor rgb="00808080"/>
    <outlinePr summaryBelow="1" summaryRight="1"/>
    <pageSetUpPr/>
  </sheetPr>
  <dimension ref="A1:F50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6" customWidth="1" min="3" max="3"/>
    <col width="14" customWidth="1" min="4" max="4"/>
    <col width="14" customWidth="1" min="5" max="5"/>
    <col width="16" customWidth="1" min="6" max="6"/>
    <col width="40" customWidth="1" min="7" max="7"/>
  </cols>
  <sheetData>
    <row r="1">
      <c r="A1" s="93" t="inlineStr">
        <is>
          <t>BALBOA CAPITAL LOAN</t>
        </is>
      </c>
    </row>
    <row r="2">
      <c r="A2" s="20" t="inlineStr">
        <is>
          <t>Loan ID:</t>
        </is>
      </c>
      <c r="B2" t="inlineStr">
        <is>
          <t>07-2910-000-000-00</t>
        </is>
      </c>
    </row>
    <row r="3">
      <c r="A3" s="20" t="inlineStr">
        <is>
          <t>Account:</t>
        </is>
      </c>
      <c r="B3" t="inlineStr">
        <is>
          <t>512717-0000</t>
        </is>
      </c>
    </row>
    <row r="4">
      <c r="A4" s="20" t="inlineStr">
        <is>
          <t>Description:</t>
        </is>
      </c>
      <c r="B4" t="inlineStr">
        <is>
          <t>1211 Rankin Warehouse Racking</t>
        </is>
      </c>
    </row>
    <row r="5">
      <c r="A5" s="20" t="inlineStr">
        <is>
          <t>Opening Balance:</t>
        </is>
      </c>
      <c r="B5" s="3" t="n">
        <v>328902</v>
      </c>
    </row>
    <row r="6">
      <c r="A6" s="20" t="inlineStr">
        <is>
          <t>Annual Rate:</t>
        </is>
      </c>
      <c r="B6" s="4" t="n">
        <v>0.0968</v>
      </c>
    </row>
    <row r="7">
      <c r="A7" s="20" t="inlineStr">
        <is>
          <t>Term (months):</t>
        </is>
      </c>
      <c r="B7" t="n">
        <v>25</v>
      </c>
    </row>
    <row r="8">
      <c r="A8" s="20" t="inlineStr">
        <is>
          <t>Monthly Payment:</t>
        </is>
      </c>
      <c r="B8" s="3" t="n">
        <v>10501.84</v>
      </c>
    </row>
    <row r="9">
      <c r="A9" s="20" t="inlineStr">
        <is>
          <t>Origination Date:</t>
        </is>
      </c>
      <c r="B9" t="inlineStr">
        <is>
          <t>2024-05-06</t>
        </is>
      </c>
    </row>
    <row r="10">
      <c r="A10" s="20" t="inlineStr">
        <is>
          <t>Maturity Date:</t>
        </is>
      </c>
      <c r="B10" t="inlineStr">
        <is>
          <t>2026-06-06</t>
        </is>
      </c>
    </row>
    <row r="12">
      <c r="A12" s="20" t="inlineStr">
        <is>
          <t>AI ANALYSIS</t>
        </is>
      </c>
    </row>
    <row r="13">
      <c r="A13" s="6" t="inlineStr">
        <is>
          <t>Loan Type:</t>
        </is>
      </c>
      <c r="B13" s="6" t="inlineStr">
        <is>
          <t>AMORTIZING - Standard P&amp;I payments</t>
        </is>
      </c>
    </row>
    <row r="14">
      <c r="A14" s="6" t="inlineStr">
        <is>
          <t>Use:</t>
        </is>
      </c>
      <c r="B14" s="6" t="inlineStr">
        <is>
          <t>Warehouse equipment (racking)</t>
        </is>
      </c>
    </row>
    <row r="15">
      <c r="A15" s="6" t="inlineStr">
        <is>
          <t>Status:</t>
        </is>
      </c>
      <c r="B15" s="6" t="inlineStr">
        <is>
          <t>Active - Matures June 2026</t>
        </is>
      </c>
    </row>
    <row r="16">
      <c r="A16" s="6" t="inlineStr">
        <is>
          <t>Notes:</t>
        </is>
      </c>
      <c r="B16" s="6" t="inlineStr">
        <is>
          <t>Equipment financing for 1211 Rankin warehouse racking system.</t>
        </is>
      </c>
    </row>
    <row r="17">
      <c r="A17" s="6" t="inlineStr"/>
      <c r="B17" s="6" t="inlineStr">
        <is>
          <t>Remaining balance as of Nov 30, 2025: $154,515</t>
        </is>
      </c>
    </row>
    <row r="18">
      <c r="A18" s="6" t="inlineStr"/>
      <c r="B18" s="6" t="inlineStr">
        <is>
          <t>Approximately 7 payments remaining until payoff.</t>
        </is>
      </c>
    </row>
    <row r="20">
      <c r="A20" s="18" t="inlineStr">
        <is>
          <t>Month #</t>
        </is>
      </c>
      <c r="B20" s="18" t="inlineStr">
        <is>
          <t>Date</t>
        </is>
      </c>
      <c r="C20" s="18" t="inlineStr">
        <is>
          <t>Opening Balance</t>
        </is>
      </c>
      <c r="D20" s="18" t="inlineStr">
        <is>
          <t>Interest</t>
        </is>
      </c>
      <c r="E20" s="18" t="inlineStr">
        <is>
          <t>Principal</t>
        </is>
      </c>
      <c r="F20" s="18" t="inlineStr">
        <is>
          <t>Closing Balance</t>
        </is>
      </c>
    </row>
    <row r="21">
      <c r="A21" s="9" t="n">
        <v>1</v>
      </c>
      <c r="B21" s="9" t="inlineStr">
        <is>
          <t>2024-05-06</t>
        </is>
      </c>
      <c r="C21" s="11">
        <f>$B$5</f>
        <v/>
      </c>
      <c r="D21" s="11">
        <f>MAX(0,C21*$B$6/12)</f>
        <v/>
      </c>
      <c r="E21" s="11">
        <f>MAX(0,MIN(C21,$B$8-D21))</f>
        <v/>
      </c>
      <c r="F21" s="11">
        <f>MAX(0,C21-E21)</f>
        <v/>
      </c>
    </row>
    <row r="22">
      <c r="A22" s="9" t="n">
        <v>2</v>
      </c>
      <c r="B22" s="9" t="inlineStr">
        <is>
          <t>2024-06-06</t>
        </is>
      </c>
      <c r="C22" s="11">
        <f>F21</f>
        <v/>
      </c>
      <c r="D22" s="11">
        <f>MAX(0,C22*$B$6/12)</f>
        <v/>
      </c>
      <c r="E22" s="11">
        <f>MAX(0,MIN(C22,$B$8-D22))</f>
        <v/>
      </c>
      <c r="F22" s="11">
        <f>MAX(0,C22-E22)</f>
        <v/>
      </c>
    </row>
    <row r="23">
      <c r="A23" s="9" t="n">
        <v>3</v>
      </c>
      <c r="B23" s="9" t="inlineStr">
        <is>
          <t>2024-07-06</t>
        </is>
      </c>
      <c r="C23" s="11">
        <f>F22</f>
        <v/>
      </c>
      <c r="D23" s="11">
        <f>MAX(0,C23*$B$6/12)</f>
        <v/>
      </c>
      <c r="E23" s="11">
        <f>MAX(0,MIN(C23,$B$8-D23))</f>
        <v/>
      </c>
      <c r="F23" s="11">
        <f>MAX(0,C23-E23)</f>
        <v/>
      </c>
    </row>
    <row r="24">
      <c r="A24" s="9" t="n">
        <v>4</v>
      </c>
      <c r="B24" s="9" t="inlineStr">
        <is>
          <t>2024-08-06</t>
        </is>
      </c>
      <c r="C24" s="11">
        <f>F23</f>
        <v/>
      </c>
      <c r="D24" s="11">
        <f>MAX(0,C24*$B$6/12)</f>
        <v/>
      </c>
      <c r="E24" s="11">
        <f>MAX(0,MIN(C24,$B$8-D24))</f>
        <v/>
      </c>
      <c r="F24" s="11">
        <f>MAX(0,C24-E24)</f>
        <v/>
      </c>
    </row>
    <row r="25">
      <c r="A25" s="9" t="n">
        <v>5</v>
      </c>
      <c r="B25" s="9" t="inlineStr">
        <is>
          <t>2024-09-06</t>
        </is>
      </c>
      <c r="C25" s="11">
        <f>F24</f>
        <v/>
      </c>
      <c r="D25" s="11">
        <f>MAX(0,C25*$B$6/12)</f>
        <v/>
      </c>
      <c r="E25" s="11">
        <f>MAX(0,MIN(C25,$B$8-D25))</f>
        <v/>
      </c>
      <c r="F25" s="11">
        <f>MAX(0,C25-E25)</f>
        <v/>
      </c>
    </row>
    <row r="26">
      <c r="A26" s="9" t="n">
        <v>6</v>
      </c>
      <c r="B26" s="9" t="inlineStr">
        <is>
          <t>2024-10-06</t>
        </is>
      </c>
      <c r="C26" s="11">
        <f>F25</f>
        <v/>
      </c>
      <c r="D26" s="11">
        <f>MAX(0,C26*$B$6/12)</f>
        <v/>
      </c>
      <c r="E26" s="11">
        <f>MAX(0,MIN(C26,$B$8-D26))</f>
        <v/>
      </c>
      <c r="F26" s="11">
        <f>MAX(0,C26-E26)</f>
        <v/>
      </c>
    </row>
    <row r="27">
      <c r="A27" s="9" t="n">
        <v>7</v>
      </c>
      <c r="B27" s="9" t="inlineStr">
        <is>
          <t>2024-11-06</t>
        </is>
      </c>
      <c r="C27" s="11">
        <f>F26</f>
        <v/>
      </c>
      <c r="D27" s="11">
        <f>MAX(0,C27*$B$6/12)</f>
        <v/>
      </c>
      <c r="E27" s="11">
        <f>MAX(0,MIN(C27,$B$8-D27))</f>
        <v/>
      </c>
      <c r="F27" s="11">
        <f>MAX(0,C27-E27)</f>
        <v/>
      </c>
    </row>
    <row r="28">
      <c r="A28" s="9" t="n">
        <v>8</v>
      </c>
      <c r="B28" s="9" t="inlineStr">
        <is>
          <t>2024-12-06</t>
        </is>
      </c>
      <c r="C28" s="11">
        <f>F27</f>
        <v/>
      </c>
      <c r="D28" s="11">
        <f>MAX(0,C28*$B$6/12)</f>
        <v/>
      </c>
      <c r="E28" s="11">
        <f>MAX(0,MIN(C28,$B$8-D28))</f>
        <v/>
      </c>
      <c r="F28" s="11">
        <f>MAX(0,C28-E28)</f>
        <v/>
      </c>
    </row>
    <row r="29">
      <c r="A29" s="9" t="n">
        <v>9</v>
      </c>
      <c r="B29" s="9" t="inlineStr">
        <is>
          <t>2025-01-06</t>
        </is>
      </c>
      <c r="C29" s="11">
        <f>F28</f>
        <v/>
      </c>
      <c r="D29" s="11">
        <f>MAX(0,C29*$B$6/12)</f>
        <v/>
      </c>
      <c r="E29" s="11">
        <f>MAX(0,MIN(C29,$B$8-D29))</f>
        <v/>
      </c>
      <c r="F29" s="11">
        <f>MAX(0,C29-E29)</f>
        <v/>
      </c>
    </row>
    <row r="30">
      <c r="A30" s="9" t="n">
        <v>10</v>
      </c>
      <c r="B30" s="9" t="inlineStr">
        <is>
          <t>2025-02-06</t>
        </is>
      </c>
      <c r="C30" s="11">
        <f>F29</f>
        <v/>
      </c>
      <c r="D30" s="11">
        <f>MAX(0,C30*$B$6/12)</f>
        <v/>
      </c>
      <c r="E30" s="11">
        <f>MAX(0,MIN(C30,$B$8-D30))</f>
        <v/>
      </c>
      <c r="F30" s="11">
        <f>MAX(0,C30-E30)</f>
        <v/>
      </c>
    </row>
    <row r="31">
      <c r="A31" s="9" t="n">
        <v>11</v>
      </c>
      <c r="B31" s="9" t="inlineStr">
        <is>
          <t>2025-03-06</t>
        </is>
      </c>
      <c r="C31" s="11">
        <f>F30</f>
        <v/>
      </c>
      <c r="D31" s="11">
        <f>MAX(0,C31*$B$6/12)</f>
        <v/>
      </c>
      <c r="E31" s="11">
        <f>MAX(0,MIN(C31,$B$8-D31))</f>
        <v/>
      </c>
      <c r="F31" s="11">
        <f>MAX(0,C31-E31)</f>
        <v/>
      </c>
    </row>
    <row r="32">
      <c r="A32" s="9" t="n">
        <v>12</v>
      </c>
      <c r="B32" s="9" t="inlineStr">
        <is>
          <t>2025-04-06</t>
        </is>
      </c>
      <c r="C32" s="11">
        <f>F31</f>
        <v/>
      </c>
      <c r="D32" s="11">
        <f>MAX(0,C32*$B$6/12)</f>
        <v/>
      </c>
      <c r="E32" s="11">
        <f>MAX(0,MIN(C32,$B$8-D32))</f>
        <v/>
      </c>
      <c r="F32" s="11">
        <f>MAX(0,C32-E32)</f>
        <v/>
      </c>
    </row>
    <row r="33">
      <c r="A33" s="9" t="n">
        <v>13</v>
      </c>
      <c r="B33" s="9" t="inlineStr">
        <is>
          <t>2025-05-06</t>
        </is>
      </c>
      <c r="C33" s="11">
        <f>F32</f>
        <v/>
      </c>
      <c r="D33" s="11">
        <f>MAX(0,C33*$B$6/12)</f>
        <v/>
      </c>
      <c r="E33" s="11">
        <f>MAX(0,MIN(C33,$B$8-D33))</f>
        <v/>
      </c>
      <c r="F33" s="11">
        <f>MAX(0,C33-E33)</f>
        <v/>
      </c>
    </row>
    <row r="34">
      <c r="A34" s="9" t="n">
        <v>14</v>
      </c>
      <c r="B34" s="9" t="inlineStr">
        <is>
          <t>2025-06-06</t>
        </is>
      </c>
      <c r="C34" s="11">
        <f>F33</f>
        <v/>
      </c>
      <c r="D34" s="11">
        <f>MAX(0,C34*$B$6/12)</f>
        <v/>
      </c>
      <c r="E34" s="11">
        <f>MAX(0,MIN(C34,$B$8-D34))</f>
        <v/>
      </c>
      <c r="F34" s="11">
        <f>MAX(0,C34-E34)</f>
        <v/>
      </c>
    </row>
    <row r="35">
      <c r="A35" s="9" t="n">
        <v>15</v>
      </c>
      <c r="B35" s="9" t="inlineStr">
        <is>
          <t>2025-07-06</t>
        </is>
      </c>
      <c r="C35" s="11">
        <f>F34</f>
        <v/>
      </c>
      <c r="D35" s="11">
        <f>MAX(0,C35*$B$6/12)</f>
        <v/>
      </c>
      <c r="E35" s="11">
        <f>MAX(0,MIN(C35,$B$8-D35))</f>
        <v/>
      </c>
      <c r="F35" s="11">
        <f>MAX(0,C35-E35)</f>
        <v/>
      </c>
    </row>
    <row r="36">
      <c r="A36" s="9" t="n">
        <v>16</v>
      </c>
      <c r="B36" s="9" t="inlineStr">
        <is>
          <t>2025-08-06</t>
        </is>
      </c>
      <c r="C36" s="11">
        <f>F35</f>
        <v/>
      </c>
      <c r="D36" s="11">
        <f>MAX(0,C36*$B$6/12)</f>
        <v/>
      </c>
      <c r="E36" s="11">
        <f>MAX(0,MIN(C36,$B$8-D36))</f>
        <v/>
      </c>
      <c r="F36" s="11">
        <f>MAX(0,C36-E36)</f>
        <v/>
      </c>
    </row>
    <row r="37">
      <c r="A37" s="9" t="n">
        <v>17</v>
      </c>
      <c r="B37" s="9" t="inlineStr">
        <is>
          <t>2025-09-06</t>
        </is>
      </c>
      <c r="C37" s="11">
        <f>F36</f>
        <v/>
      </c>
      <c r="D37" s="11">
        <f>MAX(0,C37*$B$6/12)</f>
        <v/>
      </c>
      <c r="E37" s="11">
        <f>MAX(0,MIN(C37,$B$8-D37))</f>
        <v/>
      </c>
      <c r="F37" s="11">
        <f>MAX(0,C37-E37)</f>
        <v/>
      </c>
    </row>
    <row r="38">
      <c r="A38" s="9" t="n">
        <v>18</v>
      </c>
      <c r="B38" s="9" t="inlineStr">
        <is>
          <t>2025-10-06</t>
        </is>
      </c>
      <c r="C38" s="11">
        <f>F37</f>
        <v/>
      </c>
      <c r="D38" s="11">
        <f>MAX(0,C38*$B$6/12)</f>
        <v/>
      </c>
      <c r="E38" s="11">
        <f>MAX(0,MIN(C38,$B$8-D38))</f>
        <v/>
      </c>
      <c r="F38" s="11">
        <f>MAX(0,C38-E38)</f>
        <v/>
      </c>
    </row>
    <row r="39">
      <c r="A39" s="9" t="n">
        <v>19</v>
      </c>
      <c r="B39" s="9" t="inlineStr">
        <is>
          <t>2025-11-06</t>
        </is>
      </c>
      <c r="C39" s="11">
        <f>F38</f>
        <v/>
      </c>
      <c r="D39" s="11">
        <f>MAX(0,C39*$B$6/12)</f>
        <v/>
      </c>
      <c r="E39" s="11">
        <f>MAX(0,MIN(C39,$B$8-D39))</f>
        <v/>
      </c>
      <c r="F39" s="11">
        <f>MAX(0,C39-E39)</f>
        <v/>
      </c>
    </row>
    <row r="40">
      <c r="A40" s="9" t="n">
        <v>20</v>
      </c>
      <c r="B40" s="9" t="inlineStr">
        <is>
          <t>2025-12-06</t>
        </is>
      </c>
      <c r="C40" s="11">
        <f>F39</f>
        <v/>
      </c>
      <c r="D40" s="11">
        <f>MAX(0,C40*$B$6/12)</f>
        <v/>
      </c>
      <c r="E40" s="11">
        <f>MAX(0,MIN(C40,$B$8-D40))</f>
        <v/>
      </c>
      <c r="F40" s="11">
        <f>MAX(0,C40-E40)</f>
        <v/>
      </c>
    </row>
    <row r="41">
      <c r="A41" s="9" t="n">
        <v>21</v>
      </c>
      <c r="B41" s="9" t="inlineStr">
        <is>
          <t>2026-01-06</t>
        </is>
      </c>
      <c r="C41" s="11">
        <f>F40</f>
        <v/>
      </c>
      <c r="D41" s="11">
        <f>MAX(0,C41*$B$6/12)</f>
        <v/>
      </c>
      <c r="E41" s="11">
        <f>MAX(0,MIN(C41,$B$8-D41))</f>
        <v/>
      </c>
      <c r="F41" s="11">
        <f>MAX(0,C41-E41)</f>
        <v/>
      </c>
    </row>
    <row r="42">
      <c r="A42" s="9" t="n">
        <v>22</v>
      </c>
      <c r="B42" s="9" t="inlineStr">
        <is>
          <t>2026-02-06</t>
        </is>
      </c>
      <c r="C42" s="11">
        <f>F41</f>
        <v/>
      </c>
      <c r="D42" s="11">
        <f>MAX(0,C42*$B$6/12)</f>
        <v/>
      </c>
      <c r="E42" s="11">
        <f>MAX(0,MIN(C42,$B$8-D42))</f>
        <v/>
      </c>
      <c r="F42" s="11">
        <f>MAX(0,C42-E42)</f>
        <v/>
      </c>
    </row>
    <row r="43">
      <c r="A43" s="9" t="n">
        <v>23</v>
      </c>
      <c r="B43" s="9" t="inlineStr">
        <is>
          <t>2026-03-06</t>
        </is>
      </c>
      <c r="C43" s="11">
        <f>F42</f>
        <v/>
      </c>
      <c r="D43" s="11">
        <f>MAX(0,C43*$B$6/12)</f>
        <v/>
      </c>
      <c r="E43" s="11">
        <f>MAX(0,MIN(C43,$B$8-D43))</f>
        <v/>
      </c>
      <c r="F43" s="11">
        <f>MAX(0,C43-E43)</f>
        <v/>
      </c>
    </row>
    <row r="44">
      <c r="A44" s="9" t="n">
        <v>24</v>
      </c>
      <c r="B44" s="9" t="inlineStr">
        <is>
          <t>2026-04-06</t>
        </is>
      </c>
      <c r="C44" s="11">
        <f>F43</f>
        <v/>
      </c>
      <c r="D44" s="11">
        <f>MAX(0,C44*$B$6/12)</f>
        <v/>
      </c>
      <c r="E44" s="11">
        <f>MAX(0,MIN(C44,$B$8-D44))</f>
        <v/>
      </c>
      <c r="F44" s="11">
        <f>MAX(0,C44-E44)</f>
        <v/>
      </c>
    </row>
    <row r="45">
      <c r="A45" s="9" t="n">
        <v>25</v>
      </c>
      <c r="B45" s="9" t="inlineStr">
        <is>
          <t>2026-05-06</t>
        </is>
      </c>
      <c r="C45" s="11">
        <f>F44</f>
        <v/>
      </c>
      <c r="D45" s="11">
        <f>MAX(0,C45*$B$6/12)</f>
        <v/>
      </c>
      <c r="E45" s="11">
        <f>MAX(0,MIN(C45,$B$8-D45))</f>
        <v/>
      </c>
      <c r="F45" s="11">
        <f>MAX(0,C45-E45)</f>
        <v/>
      </c>
    </row>
    <row r="46">
      <c r="A46" s="9" t="n">
        <v>26</v>
      </c>
      <c r="B46" s="9" t="inlineStr">
        <is>
          <t>2026-06-06</t>
        </is>
      </c>
      <c r="C46" s="11">
        <f>F45</f>
        <v/>
      </c>
      <c r="D46" s="11">
        <f>MAX(0,C46*$B$6/12)</f>
        <v/>
      </c>
      <c r="E46" s="11">
        <f>MAX(0,MIN(C46,$B$8-D46))</f>
        <v/>
      </c>
      <c r="F46" s="11">
        <f>MAX(0,C46-E46)</f>
        <v/>
      </c>
    </row>
    <row r="48">
      <c r="A48" s="20" t="inlineStr">
        <is>
          <t>TOTALS</t>
        </is>
      </c>
      <c r="C48" s="20" t="inlineStr">
        <is>
          <t>Total Interest:</t>
        </is>
      </c>
      <c r="D48" s="21">
        <f>SUM(D21:D46)</f>
        <v/>
      </c>
    </row>
    <row r="49">
      <c r="C49" s="20" t="inlineStr">
        <is>
          <t>Total Principal:</t>
        </is>
      </c>
      <c r="D49" s="21">
        <f>SUM(E21:E46)</f>
        <v/>
      </c>
    </row>
    <row r="50">
      <c r="C50" s="20" t="inlineStr">
        <is>
          <t>Total Payments:</t>
        </is>
      </c>
      <c r="D50" s="21">
        <f>SUM(D21:D46)+SUM(E21:E46)</f>
        <v/>
      </c>
    </row>
  </sheetData>
  <mergeCells count="8">
    <mergeCell ref="B16:F16"/>
    <mergeCell ref="B15:F15"/>
    <mergeCell ref="A1:F1"/>
    <mergeCell ref="A12:F12"/>
    <mergeCell ref="B14:F14"/>
    <mergeCell ref="B17:F17"/>
    <mergeCell ref="B18:F18"/>
    <mergeCell ref="B13:F13"/>
  </mergeCells>
  <pageMargins left="0.75" right="0.75" top="1" bottom="1" header="0.5" footer="0.5"/>
  <legacyDrawing xmlns:r="http://schemas.openxmlformats.org/officeDocument/2006/relationships" r:id="anysvml"/>
</worksheet>
</file>

<file path=xl/worksheets/sheet17.xml><?xml version="1.0" encoding="utf-8"?>
<worksheet xmlns="http://schemas.openxmlformats.org/spreadsheetml/2006/main">
  <sheetPr>
    <tabColor rgb="00808080"/>
    <outlinePr summaryBelow="1" summaryRight="1"/>
    <pageSetUpPr/>
  </sheetPr>
  <dimension ref="A1:G72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6" customWidth="1" min="3" max="3"/>
    <col width="14" customWidth="1" min="4" max="4"/>
    <col width="14" customWidth="1" min="5" max="5"/>
    <col width="16" customWidth="1" min="6" max="6"/>
    <col width="16" customWidth="1" min="7" max="7"/>
  </cols>
  <sheetData>
    <row r="1">
      <c r="A1" s="15" t="inlineStr">
        <is>
          <t>CONSTELLATION ENERGY SOLAR LOANS</t>
        </is>
      </c>
    </row>
    <row r="3">
      <c r="A3" t="inlineStr">
        <is>
          <t>Lender:</t>
        </is>
      </c>
      <c r="B3" s="2" t="inlineStr">
        <is>
          <t>Constellation Energy</t>
        </is>
      </c>
    </row>
    <row r="4">
      <c r="A4" t="inlineStr">
        <is>
          <t>Number of Loans:</t>
        </is>
      </c>
      <c r="B4" s="2" t="n">
        <v>2</v>
      </c>
    </row>
    <row r="5">
      <c r="A5" t="inlineStr">
        <is>
          <t>Total Remaining Balance:</t>
        </is>
      </c>
      <c r="B5" s="31">
        <f>B22+B51</f>
        <v/>
      </c>
    </row>
    <row r="6">
      <c r="A6" t="inlineStr">
        <is>
          <t>Total Monthly Payment:</t>
        </is>
      </c>
      <c r="B6" s="19">
        <f>B24+B53</f>
        <v/>
      </c>
    </row>
    <row r="7">
      <c r="A7" t="inlineStr">
        <is>
          <t>Data As Of:</t>
        </is>
      </c>
      <c r="B7" s="2" t="inlineStr">
        <is>
          <t>November 30, 2025</t>
        </is>
      </c>
    </row>
    <row r="9">
      <c r="A9" s="94" t="inlineStr">
        <is>
          <t>AI ANALYSIS</t>
        </is>
      </c>
    </row>
    <row r="10">
      <c r="A10" s="6" t="inlineStr">
        <is>
          <t>Loan Classification:</t>
        </is>
      </c>
      <c r="B10" s="6" t="inlineStr">
        <is>
          <t>ZERO_INTEREST - Solar financing arrangement</t>
        </is>
      </c>
      <c r="C10" s="6" t="n"/>
      <c r="D10" s="6" t="n"/>
      <c r="E10" s="6" t="n"/>
      <c r="F10" s="6" t="n"/>
      <c r="G10" s="6" t="n"/>
    </row>
    <row r="11">
      <c r="A11" s="6" t="inlineStr">
        <is>
          <t>Amortization Method:</t>
        </is>
      </c>
      <c r="B11" s="6" t="inlineStr">
        <is>
          <t>Straight-line (no interest component)</t>
        </is>
      </c>
      <c r="C11" s="6" t="n"/>
      <c r="D11" s="6" t="n"/>
      <c r="E11" s="6" t="n"/>
      <c r="F11" s="6" t="n"/>
      <c r="G11" s="6" t="n"/>
    </row>
    <row r="12">
      <c r="A12" s="6" t="inlineStr">
        <is>
          <t>Term Analysis:</t>
        </is>
      </c>
      <c r="B12" s="6" t="inlineStr">
        <is>
          <t>Both loans originated Dec 2023, mature March 2027 (40-month term)</t>
        </is>
      </c>
      <c r="C12" s="6" t="n"/>
      <c r="D12" s="6" t="n"/>
      <c r="E12" s="6" t="n"/>
      <c r="F12" s="6" t="n"/>
      <c r="G12" s="6" t="n"/>
    </row>
    <row r="13">
      <c r="A13" s="6" t="inlineStr">
        <is>
          <t>Payment Structure:</t>
        </is>
      </c>
      <c r="B13" s="6" t="inlineStr">
        <is>
          <t>Fixed monthly installments - entire payment reduces principal</t>
        </is>
      </c>
      <c r="C13" s="6" t="n"/>
      <c r="D13" s="6" t="n"/>
      <c r="E13" s="6" t="n"/>
      <c r="F13" s="6" t="n"/>
      <c r="G13" s="6" t="n"/>
    </row>
    <row r="14">
      <c r="A14" s="6" t="inlineStr">
        <is>
          <t>Note:</t>
        </is>
      </c>
      <c r="B14" s="6" t="inlineStr">
        <is>
          <t>As of Nov 2025, 24 payments made; 16 payments remaining to maturity</t>
        </is>
      </c>
      <c r="C14" s="6" t="n"/>
      <c r="D14" s="6" t="n"/>
      <c r="E14" s="6" t="n"/>
      <c r="F14" s="6" t="n"/>
      <c r="G14" s="6" t="n"/>
    </row>
    <row r="17">
      <c r="A17" s="94" t="inlineStr">
        <is>
          <t>LOAN 1: 11th St - Solar (MH3)</t>
        </is>
      </c>
    </row>
    <row r="18">
      <c r="A18" t="inlineStr">
        <is>
          <t>Loan ID:</t>
        </is>
      </c>
      <c r="B18" s="2" t="inlineStr">
        <is>
          <t>08-2925-000-000-00</t>
        </is>
      </c>
    </row>
    <row r="19">
      <c r="A19" t="inlineStr">
        <is>
          <t>Description:</t>
        </is>
      </c>
      <c r="B19" t="inlineStr">
        <is>
          <t>Solar installation - 11th Street property</t>
        </is>
      </c>
    </row>
    <row r="20">
      <c r="A20" t="inlineStr">
        <is>
          <t>Origination Date:</t>
        </is>
      </c>
      <c r="B20" s="16" t="n">
        <v>45261</v>
      </c>
    </row>
    <row r="21">
      <c r="A21" t="inlineStr">
        <is>
          <t>Maturity Date:</t>
        </is>
      </c>
      <c r="B21" s="16" t="n">
        <v>46447</v>
      </c>
    </row>
    <row r="22">
      <c r="A22" t="inlineStr">
        <is>
          <t>Opening Balance (Nov 2025):</t>
        </is>
      </c>
      <c r="B22" s="22" t="n">
        <v>244840</v>
      </c>
    </row>
    <row r="23">
      <c r="A23" t="inlineStr">
        <is>
          <t>Annual Interest Rate:</t>
        </is>
      </c>
      <c r="B23" s="2" t="inlineStr">
        <is>
          <t>0.00%</t>
        </is>
      </c>
    </row>
    <row r="24">
      <c r="A24" t="inlineStr">
        <is>
          <t>Monthly Payment:</t>
        </is>
      </c>
      <c r="B24" s="3" t="n">
        <v>15302.47</v>
      </c>
    </row>
    <row r="25">
      <c r="A25" t="inlineStr">
        <is>
          <t>Loan Type:</t>
        </is>
      </c>
      <c r="B25" s="2" t="inlineStr">
        <is>
          <t>ZERO_INTEREST</t>
        </is>
      </c>
    </row>
    <row r="27">
      <c r="A27" s="95" t="inlineStr">
        <is>
          <t>Month #</t>
        </is>
      </c>
      <c r="B27" s="95" t="inlineStr">
        <is>
          <t>Date</t>
        </is>
      </c>
      <c r="C27" s="95" t="inlineStr">
        <is>
          <t>Opening Balance</t>
        </is>
      </c>
      <c r="D27" s="95" t="inlineStr">
        <is>
          <t>Interest</t>
        </is>
      </c>
      <c r="E27" s="95" t="inlineStr">
        <is>
          <t>Principal</t>
        </is>
      </c>
      <c r="F27" s="95" t="inlineStr">
        <is>
          <t>Closing Balance</t>
        </is>
      </c>
    </row>
    <row r="28">
      <c r="A28" s="9" t="n">
        <v>1</v>
      </c>
      <c r="B28" s="13" t="n">
        <v>45992</v>
      </c>
      <c r="C28" s="72">
        <f>B22</f>
        <v/>
      </c>
      <c r="D28" s="11">
        <f>MAX(0,C28*0/12)</f>
        <v/>
      </c>
      <c r="E28" s="11">
        <f>MAX(0,MIN(C28,$B$24-D28))</f>
        <v/>
      </c>
      <c r="F28" s="72">
        <f>MAX(0,C28-E28)</f>
        <v/>
      </c>
    </row>
    <row r="29">
      <c r="A29" s="59" t="n">
        <v>2</v>
      </c>
      <c r="B29" s="96" t="n">
        <v>46023</v>
      </c>
      <c r="C29" s="97">
        <f>F28</f>
        <v/>
      </c>
      <c r="D29" s="60">
        <f>MAX(0,C29*0/12)</f>
        <v/>
      </c>
      <c r="E29" s="60">
        <f>MAX(0,MIN(C29,$B$24-D29))</f>
        <v/>
      </c>
      <c r="F29" s="97">
        <f>MAX(0,C29-E29)</f>
        <v/>
      </c>
    </row>
    <row r="30">
      <c r="A30" s="9" t="n">
        <v>3</v>
      </c>
      <c r="B30" s="13" t="n">
        <v>46054</v>
      </c>
      <c r="C30" s="72">
        <f>F29</f>
        <v/>
      </c>
      <c r="D30" s="11">
        <f>MAX(0,C30*0/12)</f>
        <v/>
      </c>
      <c r="E30" s="11">
        <f>MAX(0,MIN(C30,$B$24-D30))</f>
        <v/>
      </c>
      <c r="F30" s="72">
        <f>MAX(0,C30-E30)</f>
        <v/>
      </c>
    </row>
    <row r="31">
      <c r="A31" s="59" t="n">
        <v>4</v>
      </c>
      <c r="B31" s="96" t="n">
        <v>46082</v>
      </c>
      <c r="C31" s="97">
        <f>F30</f>
        <v/>
      </c>
      <c r="D31" s="60">
        <f>MAX(0,C31*0/12)</f>
        <v/>
      </c>
      <c r="E31" s="60">
        <f>MAX(0,MIN(C31,$B$24-D31))</f>
        <v/>
      </c>
      <c r="F31" s="97">
        <f>MAX(0,C31-E31)</f>
        <v/>
      </c>
    </row>
    <row r="32">
      <c r="A32" s="9" t="n">
        <v>5</v>
      </c>
      <c r="B32" s="13" t="n">
        <v>46113</v>
      </c>
      <c r="C32" s="72">
        <f>F31</f>
        <v/>
      </c>
      <c r="D32" s="11">
        <f>MAX(0,C32*0/12)</f>
        <v/>
      </c>
      <c r="E32" s="11">
        <f>MAX(0,MIN(C32,$B$24-D32))</f>
        <v/>
      </c>
      <c r="F32" s="72">
        <f>MAX(0,C32-E32)</f>
        <v/>
      </c>
    </row>
    <row r="33">
      <c r="A33" s="59" t="n">
        <v>6</v>
      </c>
      <c r="B33" s="96" t="n">
        <v>46143</v>
      </c>
      <c r="C33" s="97">
        <f>F32</f>
        <v/>
      </c>
      <c r="D33" s="60">
        <f>MAX(0,C33*0/12)</f>
        <v/>
      </c>
      <c r="E33" s="60">
        <f>MAX(0,MIN(C33,$B$24-D33))</f>
        <v/>
      </c>
      <c r="F33" s="97">
        <f>MAX(0,C33-E33)</f>
        <v/>
      </c>
    </row>
    <row r="34">
      <c r="A34" s="9" t="n">
        <v>7</v>
      </c>
      <c r="B34" s="13" t="n">
        <v>46174</v>
      </c>
      <c r="C34" s="72">
        <f>F33</f>
        <v/>
      </c>
      <c r="D34" s="11">
        <f>MAX(0,C34*0/12)</f>
        <v/>
      </c>
      <c r="E34" s="11">
        <f>MAX(0,MIN(C34,$B$24-D34))</f>
        <v/>
      </c>
      <c r="F34" s="72">
        <f>MAX(0,C34-E34)</f>
        <v/>
      </c>
    </row>
    <row r="35">
      <c r="A35" s="59" t="n">
        <v>8</v>
      </c>
      <c r="B35" s="96" t="n">
        <v>46204</v>
      </c>
      <c r="C35" s="97">
        <f>F34</f>
        <v/>
      </c>
      <c r="D35" s="60">
        <f>MAX(0,C35*0/12)</f>
        <v/>
      </c>
      <c r="E35" s="60">
        <f>MAX(0,MIN(C35,$B$24-D35))</f>
        <v/>
      </c>
      <c r="F35" s="97">
        <f>MAX(0,C35-E35)</f>
        <v/>
      </c>
    </row>
    <row r="36">
      <c r="A36" s="9" t="n">
        <v>9</v>
      </c>
      <c r="B36" s="13" t="n">
        <v>46235</v>
      </c>
      <c r="C36" s="72">
        <f>F35</f>
        <v/>
      </c>
      <c r="D36" s="11">
        <f>MAX(0,C36*0/12)</f>
        <v/>
      </c>
      <c r="E36" s="11">
        <f>MAX(0,MIN(C36,$B$24-D36))</f>
        <v/>
      </c>
      <c r="F36" s="72">
        <f>MAX(0,C36-E36)</f>
        <v/>
      </c>
    </row>
    <row r="37">
      <c r="A37" s="59" t="n">
        <v>10</v>
      </c>
      <c r="B37" s="96" t="n">
        <v>46266</v>
      </c>
      <c r="C37" s="97">
        <f>F36</f>
        <v/>
      </c>
      <c r="D37" s="60">
        <f>MAX(0,C37*0/12)</f>
        <v/>
      </c>
      <c r="E37" s="60">
        <f>MAX(0,MIN(C37,$B$24-D37))</f>
        <v/>
      </c>
      <c r="F37" s="97">
        <f>MAX(0,C37-E37)</f>
        <v/>
      </c>
    </row>
    <row r="38">
      <c r="A38" s="9" t="n">
        <v>11</v>
      </c>
      <c r="B38" s="13" t="n">
        <v>46296</v>
      </c>
      <c r="C38" s="72">
        <f>F37</f>
        <v/>
      </c>
      <c r="D38" s="11">
        <f>MAX(0,C38*0/12)</f>
        <v/>
      </c>
      <c r="E38" s="11">
        <f>MAX(0,MIN(C38,$B$24-D38))</f>
        <v/>
      </c>
      <c r="F38" s="72">
        <f>MAX(0,C38-E38)</f>
        <v/>
      </c>
    </row>
    <row r="39">
      <c r="A39" s="59" t="n">
        <v>12</v>
      </c>
      <c r="B39" s="96" t="n">
        <v>46327</v>
      </c>
      <c r="C39" s="97">
        <f>F38</f>
        <v/>
      </c>
      <c r="D39" s="60">
        <f>MAX(0,C39*0/12)</f>
        <v/>
      </c>
      <c r="E39" s="60">
        <f>MAX(0,MIN(C39,$B$24-D39))</f>
        <v/>
      </c>
      <c r="F39" s="97">
        <f>MAX(0,C39-E39)</f>
        <v/>
      </c>
    </row>
    <row r="40">
      <c r="A40" s="9" t="n">
        <v>13</v>
      </c>
      <c r="B40" s="13" t="n">
        <v>46357</v>
      </c>
      <c r="C40" s="72">
        <f>F39</f>
        <v/>
      </c>
      <c r="D40" s="11">
        <f>MAX(0,C40*0/12)</f>
        <v/>
      </c>
      <c r="E40" s="11">
        <f>MAX(0,MIN(C40,$B$24-D40))</f>
        <v/>
      </c>
      <c r="F40" s="72">
        <f>MAX(0,C40-E40)</f>
        <v/>
      </c>
    </row>
    <row r="41">
      <c r="A41" s="59" t="n">
        <v>14</v>
      </c>
      <c r="B41" s="96" t="n">
        <v>46388</v>
      </c>
      <c r="C41" s="97">
        <f>F40</f>
        <v/>
      </c>
      <c r="D41" s="60">
        <f>MAX(0,C41*0/12)</f>
        <v/>
      </c>
      <c r="E41" s="60">
        <f>MAX(0,MIN(C41,$B$24-D41))</f>
        <v/>
      </c>
      <c r="F41" s="97">
        <f>MAX(0,C41-E41)</f>
        <v/>
      </c>
    </row>
    <row r="42">
      <c r="A42" s="9" t="n">
        <v>15</v>
      </c>
      <c r="B42" s="13" t="n">
        <v>46419</v>
      </c>
      <c r="C42" s="72">
        <f>F41</f>
        <v/>
      </c>
      <c r="D42" s="11">
        <f>MAX(0,C42*0/12)</f>
        <v/>
      </c>
      <c r="E42" s="11">
        <f>MAX(0,MIN(C42,$B$24-D42))</f>
        <v/>
      </c>
      <c r="F42" s="72">
        <f>MAX(0,C42-E42)</f>
        <v/>
      </c>
    </row>
    <row r="43">
      <c r="A43" s="59" t="n">
        <v>16</v>
      </c>
      <c r="B43" s="96" t="n">
        <v>46447</v>
      </c>
      <c r="C43" s="97">
        <f>F42</f>
        <v/>
      </c>
      <c r="D43" s="60">
        <f>MAX(0,C43*0/12)</f>
        <v/>
      </c>
      <c r="E43" s="60">
        <f>MAX(0,MIN(C43,$B$24-D43))</f>
        <v/>
      </c>
      <c r="F43" s="97">
        <f>MAX(0,C43-E43)</f>
        <v/>
      </c>
    </row>
    <row r="46">
      <c r="A46" s="94" t="inlineStr">
        <is>
          <t>LOAN 2: Harrison - Solar (MH5)</t>
        </is>
      </c>
    </row>
    <row r="47">
      <c r="A47" t="inlineStr">
        <is>
          <t>Loan ID:</t>
        </is>
      </c>
      <c r="B47" s="2" t="inlineStr">
        <is>
          <t>10-2925-000-000-00</t>
        </is>
      </c>
    </row>
    <row r="48">
      <c r="A48" t="inlineStr">
        <is>
          <t>Description:</t>
        </is>
      </c>
      <c r="B48" t="inlineStr">
        <is>
          <t>Solar installation - Harrison property</t>
        </is>
      </c>
    </row>
    <row r="49">
      <c r="A49" t="inlineStr">
        <is>
          <t>Origination Date:</t>
        </is>
      </c>
      <c r="B49" s="16" t="n">
        <v>45261</v>
      </c>
    </row>
    <row r="50">
      <c r="A50" t="inlineStr">
        <is>
          <t>Maturity Date:</t>
        </is>
      </c>
      <c r="B50" s="16" t="n">
        <v>46447</v>
      </c>
    </row>
    <row r="51">
      <c r="A51" t="inlineStr">
        <is>
          <t>Opening Balance (Nov 2025):</t>
        </is>
      </c>
      <c r="B51" s="22" t="n">
        <v>184708</v>
      </c>
    </row>
    <row r="52">
      <c r="A52" t="inlineStr">
        <is>
          <t>Annual Interest Rate:</t>
        </is>
      </c>
      <c r="B52" s="2" t="inlineStr">
        <is>
          <t>0.00%</t>
        </is>
      </c>
    </row>
    <row r="53">
      <c r="A53" t="inlineStr">
        <is>
          <t>Monthly Payment:</t>
        </is>
      </c>
      <c r="B53" s="3" t="n">
        <v>11544.21</v>
      </c>
    </row>
    <row r="54">
      <c r="A54" t="inlineStr">
        <is>
          <t>Loan Type:</t>
        </is>
      </c>
      <c r="B54" s="2" t="inlineStr">
        <is>
          <t>ZERO_INTEREST</t>
        </is>
      </c>
    </row>
    <row r="56">
      <c r="A56" s="95" t="inlineStr">
        <is>
          <t>Month #</t>
        </is>
      </c>
      <c r="B56" s="95" t="inlineStr">
        <is>
          <t>Date</t>
        </is>
      </c>
      <c r="C56" s="95" t="inlineStr">
        <is>
          <t>Opening Balance</t>
        </is>
      </c>
      <c r="D56" s="95" t="inlineStr">
        <is>
          <t>Interest</t>
        </is>
      </c>
      <c r="E56" s="95" t="inlineStr">
        <is>
          <t>Principal</t>
        </is>
      </c>
      <c r="F56" s="95" t="inlineStr">
        <is>
          <t>Closing Balance</t>
        </is>
      </c>
    </row>
    <row r="57">
      <c r="A57" s="9" t="n">
        <v>1</v>
      </c>
      <c r="B57" s="13" t="n">
        <v>45992</v>
      </c>
      <c r="C57" s="72">
        <f>B51</f>
        <v/>
      </c>
      <c r="D57" s="11">
        <f>MAX(0,C57*0/12)</f>
        <v/>
      </c>
      <c r="E57" s="11">
        <f>MAX(0,MIN(C57,$B$53-D57))</f>
        <v/>
      </c>
      <c r="F57" s="72">
        <f>MAX(0,C57-E57)</f>
        <v/>
      </c>
    </row>
    <row r="58">
      <c r="A58" s="59" t="n">
        <v>2</v>
      </c>
      <c r="B58" s="96" t="n">
        <v>46023</v>
      </c>
      <c r="C58" s="97">
        <f>F57</f>
        <v/>
      </c>
      <c r="D58" s="60">
        <f>MAX(0,C58*0/12)</f>
        <v/>
      </c>
      <c r="E58" s="60">
        <f>MAX(0,MIN(C58,$B$53-D58))</f>
        <v/>
      </c>
      <c r="F58" s="97">
        <f>MAX(0,C58-E58)</f>
        <v/>
      </c>
    </row>
    <row r="59">
      <c r="A59" s="9" t="n">
        <v>3</v>
      </c>
      <c r="B59" s="13" t="n">
        <v>46054</v>
      </c>
      <c r="C59" s="72">
        <f>F58</f>
        <v/>
      </c>
      <c r="D59" s="11">
        <f>MAX(0,C59*0/12)</f>
        <v/>
      </c>
      <c r="E59" s="11">
        <f>MAX(0,MIN(C59,$B$53-D59))</f>
        <v/>
      </c>
      <c r="F59" s="72">
        <f>MAX(0,C59-E59)</f>
        <v/>
      </c>
    </row>
    <row r="60">
      <c r="A60" s="59" t="n">
        <v>4</v>
      </c>
      <c r="B60" s="96" t="n">
        <v>46082</v>
      </c>
      <c r="C60" s="97">
        <f>F59</f>
        <v/>
      </c>
      <c r="D60" s="60">
        <f>MAX(0,C60*0/12)</f>
        <v/>
      </c>
      <c r="E60" s="60">
        <f>MAX(0,MIN(C60,$B$53-D60))</f>
        <v/>
      </c>
      <c r="F60" s="97">
        <f>MAX(0,C60-E60)</f>
        <v/>
      </c>
    </row>
    <row r="61">
      <c r="A61" s="9" t="n">
        <v>5</v>
      </c>
      <c r="B61" s="13" t="n">
        <v>46113</v>
      </c>
      <c r="C61" s="72">
        <f>F60</f>
        <v/>
      </c>
      <c r="D61" s="11">
        <f>MAX(0,C61*0/12)</f>
        <v/>
      </c>
      <c r="E61" s="11">
        <f>MAX(0,MIN(C61,$B$53-D61))</f>
        <v/>
      </c>
      <c r="F61" s="72">
        <f>MAX(0,C61-E61)</f>
        <v/>
      </c>
    </row>
    <row r="62">
      <c r="A62" s="59" t="n">
        <v>6</v>
      </c>
      <c r="B62" s="96" t="n">
        <v>46143</v>
      </c>
      <c r="C62" s="97">
        <f>F61</f>
        <v/>
      </c>
      <c r="D62" s="60">
        <f>MAX(0,C62*0/12)</f>
        <v/>
      </c>
      <c r="E62" s="60">
        <f>MAX(0,MIN(C62,$B$53-D62))</f>
        <v/>
      </c>
      <c r="F62" s="97">
        <f>MAX(0,C62-E62)</f>
        <v/>
      </c>
    </row>
    <row r="63">
      <c r="A63" s="9" t="n">
        <v>7</v>
      </c>
      <c r="B63" s="13" t="n">
        <v>46174</v>
      </c>
      <c r="C63" s="72">
        <f>F62</f>
        <v/>
      </c>
      <c r="D63" s="11">
        <f>MAX(0,C63*0/12)</f>
        <v/>
      </c>
      <c r="E63" s="11">
        <f>MAX(0,MIN(C63,$B$53-D63))</f>
        <v/>
      </c>
      <c r="F63" s="72">
        <f>MAX(0,C63-E63)</f>
        <v/>
      </c>
    </row>
    <row r="64">
      <c r="A64" s="59" t="n">
        <v>8</v>
      </c>
      <c r="B64" s="96" t="n">
        <v>46204</v>
      </c>
      <c r="C64" s="97">
        <f>F63</f>
        <v/>
      </c>
      <c r="D64" s="60">
        <f>MAX(0,C64*0/12)</f>
        <v/>
      </c>
      <c r="E64" s="60">
        <f>MAX(0,MIN(C64,$B$53-D64))</f>
        <v/>
      </c>
      <c r="F64" s="97">
        <f>MAX(0,C64-E64)</f>
        <v/>
      </c>
    </row>
    <row r="65">
      <c r="A65" s="9" t="n">
        <v>9</v>
      </c>
      <c r="B65" s="13" t="n">
        <v>46235</v>
      </c>
      <c r="C65" s="72">
        <f>F64</f>
        <v/>
      </c>
      <c r="D65" s="11">
        <f>MAX(0,C65*0/12)</f>
        <v/>
      </c>
      <c r="E65" s="11">
        <f>MAX(0,MIN(C65,$B$53-D65))</f>
        <v/>
      </c>
      <c r="F65" s="72">
        <f>MAX(0,C65-E65)</f>
        <v/>
      </c>
    </row>
    <row r="66">
      <c r="A66" s="59" t="n">
        <v>10</v>
      </c>
      <c r="B66" s="96" t="n">
        <v>46266</v>
      </c>
      <c r="C66" s="97">
        <f>F65</f>
        <v/>
      </c>
      <c r="D66" s="60">
        <f>MAX(0,C66*0/12)</f>
        <v/>
      </c>
      <c r="E66" s="60">
        <f>MAX(0,MIN(C66,$B$53-D66))</f>
        <v/>
      </c>
      <c r="F66" s="97">
        <f>MAX(0,C66-E66)</f>
        <v/>
      </c>
    </row>
    <row r="67">
      <c r="A67" s="9" t="n">
        <v>11</v>
      </c>
      <c r="B67" s="13" t="n">
        <v>46296</v>
      </c>
      <c r="C67" s="72">
        <f>F66</f>
        <v/>
      </c>
      <c r="D67" s="11">
        <f>MAX(0,C67*0/12)</f>
        <v/>
      </c>
      <c r="E67" s="11">
        <f>MAX(0,MIN(C67,$B$53-D67))</f>
        <v/>
      </c>
      <c r="F67" s="72">
        <f>MAX(0,C67-E67)</f>
        <v/>
      </c>
    </row>
    <row r="68">
      <c r="A68" s="59" t="n">
        <v>12</v>
      </c>
      <c r="B68" s="96" t="n">
        <v>46327</v>
      </c>
      <c r="C68" s="97">
        <f>F67</f>
        <v/>
      </c>
      <c r="D68" s="60">
        <f>MAX(0,C68*0/12)</f>
        <v/>
      </c>
      <c r="E68" s="60">
        <f>MAX(0,MIN(C68,$B$53-D68))</f>
        <v/>
      </c>
      <c r="F68" s="97">
        <f>MAX(0,C68-E68)</f>
        <v/>
      </c>
    </row>
    <row r="69">
      <c r="A69" s="9" t="n">
        <v>13</v>
      </c>
      <c r="B69" s="13" t="n">
        <v>46357</v>
      </c>
      <c r="C69" s="72">
        <f>F68</f>
        <v/>
      </c>
      <c r="D69" s="11">
        <f>MAX(0,C69*0/12)</f>
        <v/>
      </c>
      <c r="E69" s="11">
        <f>MAX(0,MIN(C69,$B$53-D69))</f>
        <v/>
      </c>
      <c r="F69" s="72">
        <f>MAX(0,C69-E69)</f>
        <v/>
      </c>
    </row>
    <row r="70">
      <c r="A70" s="59" t="n">
        <v>14</v>
      </c>
      <c r="B70" s="96" t="n">
        <v>46388</v>
      </c>
      <c r="C70" s="97">
        <f>F69</f>
        <v/>
      </c>
      <c r="D70" s="60">
        <f>MAX(0,C70*0/12)</f>
        <v/>
      </c>
      <c r="E70" s="60">
        <f>MAX(0,MIN(C70,$B$53-D70))</f>
        <v/>
      </c>
      <c r="F70" s="97">
        <f>MAX(0,C70-E70)</f>
        <v/>
      </c>
    </row>
    <row r="71">
      <c r="A71" s="9" t="n">
        <v>15</v>
      </c>
      <c r="B71" s="13" t="n">
        <v>46419</v>
      </c>
      <c r="C71" s="72">
        <f>F70</f>
        <v/>
      </c>
      <c r="D71" s="11">
        <f>MAX(0,C71*0/12)</f>
        <v/>
      </c>
      <c r="E71" s="11">
        <f>MAX(0,MIN(C71,$B$53-D71))</f>
        <v/>
      </c>
      <c r="F71" s="72">
        <f>MAX(0,C71-E71)</f>
        <v/>
      </c>
    </row>
    <row r="72">
      <c r="A72" s="59" t="n">
        <v>16</v>
      </c>
      <c r="B72" s="96" t="n">
        <v>46447</v>
      </c>
      <c r="C72" s="97">
        <f>F71</f>
        <v/>
      </c>
      <c r="D72" s="60">
        <f>MAX(0,C72*0/12)</f>
        <v/>
      </c>
      <c r="E72" s="60">
        <f>MAX(0,MIN(C72,$B$53-D72))</f>
        <v/>
      </c>
      <c r="F72" s="97">
        <f>MAX(0,C72-E72)</f>
        <v/>
      </c>
    </row>
  </sheetData>
  <mergeCells count="4">
    <mergeCell ref="A46:G46"/>
    <mergeCell ref="A1:G1"/>
    <mergeCell ref="A17:G17"/>
    <mergeCell ref="A9:G9"/>
  </mergeCells>
  <pageMargins left="0.75" right="0.75" top="1" bottom="1" header="0.5" footer="0.5"/>
  <legacyDrawing xmlns:r="http://schemas.openxmlformats.org/officeDocument/2006/relationships" r:id="anysvml"/>
</worksheet>
</file>

<file path=xl/worksheets/sheet18.xml><?xml version="1.0" encoding="utf-8"?>
<worksheet xmlns="http://schemas.openxmlformats.org/spreadsheetml/2006/main">
  <sheetPr>
    <tabColor rgb="001B5E20"/>
    <outlinePr summaryBelow="1" summaryRight="1"/>
    <pageSetUpPr/>
  </sheetPr>
  <dimension ref="A1:I65"/>
  <sheetViews>
    <sheetView workbookViewId="0">
      <pane xSplit="2" ySplit="2" topLeftCell="C3" activePane="bottomRight" state="frozen"/>
      <selection pane="top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0" customWidth="1" min="1" max="1"/>
    <col width="3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>
      <c r="B1" s="93" t="inlineStr">
        <is>
          <t>Income Statement</t>
        </is>
      </c>
    </row>
    <row r="2">
      <c r="C2" s="98" t="inlineStr">
        <is>
          <t>2021A</t>
        </is>
      </c>
      <c r="D2" s="98" t="inlineStr">
        <is>
          <t>2022A</t>
        </is>
      </c>
      <c r="E2" s="98" t="inlineStr">
        <is>
          <t>2023A</t>
        </is>
      </c>
      <c r="F2" s="98" t="inlineStr">
        <is>
          <t>2024A</t>
        </is>
      </c>
      <c r="G2" s="98" t="inlineStr">
        <is>
          <t>2025A</t>
        </is>
      </c>
      <c r="H2" s="49" t="inlineStr">
        <is>
          <t>2026E</t>
        </is>
      </c>
      <c r="I2" s="49" t="inlineStr">
        <is>
          <t>2027E</t>
        </is>
      </c>
    </row>
    <row r="3">
      <c r="A3" s="99" t="inlineStr">
        <is>
          <t>REVENUE</t>
        </is>
      </c>
      <c r="B3" s="100" t="n"/>
      <c r="C3" s="100" t="n"/>
      <c r="D3" s="100" t="n"/>
      <c r="E3" s="100" t="n"/>
      <c r="F3" s="100" t="n"/>
      <c r="G3" s="100" t="n"/>
    </row>
    <row r="4">
      <c r="B4" s="101" t="inlineStr">
        <is>
          <t>Freight Revenue</t>
        </is>
      </c>
      <c r="C4" s="102">
        <f>40720848</f>
        <v/>
      </c>
      <c r="D4" s="102">
        <f>44181915</f>
        <v/>
      </c>
      <c r="E4" s="102">
        <f>37199093</f>
        <v/>
      </c>
      <c r="F4" s="102">
        <f>39194308</f>
        <v/>
      </c>
      <c r="G4" s="102">
        <f>41986752</f>
        <v/>
      </c>
      <c r="H4" s="176">
        <f>G4*(1+CHOOSE(Assumptions!$D$3,Assumptions!$C$8,Assumptions!$D$8,Assumptions!$E$8))</f>
        <v/>
      </c>
      <c r="I4" s="176">
        <f>H4*(1+CHOOSE(Assumptions!$D$3,Assumptions!$F$9,Assumptions!$G$9,Assumptions!$H$9))</f>
        <v/>
      </c>
    </row>
    <row r="5">
      <c r="B5" s="101" t="inlineStr">
        <is>
          <t>Fuel Surcharge</t>
        </is>
      </c>
      <c r="C5" s="102">
        <f>1647918</f>
        <v/>
      </c>
      <c r="D5" s="102">
        <f>4486540</f>
        <v/>
      </c>
      <c r="E5" s="102">
        <f>4605089</f>
        <v/>
      </c>
      <c r="F5" s="102">
        <f>4312218</f>
        <v/>
      </c>
      <c r="G5" s="102">
        <f>2820743</f>
        <v/>
      </c>
      <c r="H5" s="176">
        <f>G5*(1+CHOOSE(Assumptions!$D$3,Assumptions!$C$8,Assumptions!$D$8,Assumptions!$E$8))</f>
        <v/>
      </c>
      <c r="I5" s="176">
        <f>H5*(1+CHOOSE(Assumptions!$D$3,Assumptions!$F$9,Assumptions!$G$9,Assumptions!$H$9))</f>
        <v/>
      </c>
    </row>
    <row r="6">
      <c r="B6" s="101" t="inlineStr">
        <is>
          <t>Brokerage Revenue</t>
        </is>
      </c>
      <c r="C6" s="102">
        <f>10276353</f>
        <v/>
      </c>
      <c r="D6" s="102">
        <f>24537265</f>
        <v/>
      </c>
      <c r="E6" s="102">
        <f>22614482</f>
        <v/>
      </c>
      <c r="F6" s="102">
        <f>20836532</f>
        <v/>
      </c>
      <c r="G6" s="102">
        <f>25056799</f>
        <v/>
      </c>
      <c r="H6" s="176">
        <f>G6*(1+CHOOSE(Assumptions!$D$3,Assumptions!$C$8,Assumptions!$D$8,Assumptions!$E$8))</f>
        <v/>
      </c>
      <c r="I6" s="176">
        <f>H6*(1+CHOOSE(Assumptions!$D$3,Assumptions!$F$9,Assumptions!$G$9,Assumptions!$H$9))</f>
        <v/>
      </c>
    </row>
    <row r="7">
      <c r="B7" s="101" t="inlineStr">
        <is>
          <t>Rental Revenue</t>
        </is>
      </c>
      <c r="C7" s="102">
        <f>817539</f>
        <v/>
      </c>
      <c r="D7" s="102">
        <f>1954461</f>
        <v/>
      </c>
      <c r="E7" s="102">
        <f>1861814</f>
        <v/>
      </c>
      <c r="F7" s="102">
        <f>847072</f>
        <v/>
      </c>
      <c r="G7" s="102">
        <f>2363917</f>
        <v/>
      </c>
      <c r="H7" s="176">
        <f>G7*(1+CHOOSE(Assumptions!$D$3,Assumptions!$C$8,Assumptions!$D$8,Assumptions!$E$8))</f>
        <v/>
      </c>
      <c r="I7" s="176">
        <f>H7*(1+CHOOSE(Assumptions!$D$3,Assumptions!$F$9,Assumptions!$G$9,Assumptions!$H$9))</f>
        <v/>
      </c>
    </row>
    <row r="8">
      <c r="B8" s="101" t="inlineStr">
        <is>
          <t>Shop Revenue</t>
        </is>
      </c>
      <c r="C8" s="102">
        <f>1263284</f>
        <v/>
      </c>
      <c r="D8" s="102">
        <f>1027699</f>
        <v/>
      </c>
      <c r="E8" s="102">
        <f>1436101</f>
        <v/>
      </c>
      <c r="F8" s="102">
        <f>2244998</f>
        <v/>
      </c>
      <c r="G8" s="102">
        <f>3702787</f>
        <v/>
      </c>
      <c r="H8" s="176">
        <f>G8*(1+CHOOSE(Assumptions!$D$3,Assumptions!$C$8,Assumptions!$D$8,Assumptions!$E$8))</f>
        <v/>
      </c>
      <c r="I8" s="176">
        <f>H8*(1+CHOOSE(Assumptions!$D$3,Assumptions!$F$9,Assumptions!$G$9,Assumptions!$H$9))</f>
        <v/>
      </c>
    </row>
    <row r="9">
      <c r="B9" s="101" t="inlineStr">
        <is>
          <t>Shuttle Revenue</t>
        </is>
      </c>
      <c r="C9" s="102">
        <f>5448303</f>
        <v/>
      </c>
      <c r="D9" s="102">
        <f>7390917</f>
        <v/>
      </c>
      <c r="E9" s="102">
        <f>4675113</f>
        <v/>
      </c>
      <c r="F9" s="102">
        <f>4499504</f>
        <v/>
      </c>
      <c r="G9" s="102">
        <f>6322989</f>
        <v/>
      </c>
      <c r="H9" s="176">
        <f>G9*(1+CHOOSE(Assumptions!$D$3,Assumptions!$C$8,Assumptions!$D$8,Assumptions!$E$8))</f>
        <v/>
      </c>
      <c r="I9" s="176">
        <f>H9*(1+CHOOSE(Assumptions!$D$3,Assumptions!$F$9,Assumptions!$G$9,Assumptions!$H$9))</f>
        <v/>
      </c>
    </row>
    <row r="10">
      <c r="B10" s="101" t="inlineStr">
        <is>
          <t>Warehouse Revenue</t>
        </is>
      </c>
      <c r="C10" s="102">
        <f>1916260</f>
        <v/>
      </c>
      <c r="D10" s="102">
        <f>5754013</f>
        <v/>
      </c>
      <c r="E10" s="102">
        <f>10581941</f>
        <v/>
      </c>
      <c r="F10" s="102">
        <f>13517481</f>
        <v/>
      </c>
      <c r="G10" s="102">
        <f>26811107</f>
        <v/>
      </c>
      <c r="H10" s="176">
        <f>G10*(1+CHOOSE(Assumptions!$D$3,Assumptions!$C$8,Assumptions!$D$8,Assumptions!$E$8))</f>
        <v/>
      </c>
      <c r="I10" s="176">
        <f>H10*(1+CHOOSE(Assumptions!$D$3,Assumptions!$F$9,Assumptions!$G$9,Assumptions!$H$9))</f>
        <v/>
      </c>
    </row>
    <row r="11">
      <c r="B11" s="101" t="inlineStr">
        <is>
          <t>Other Revenue</t>
        </is>
      </c>
      <c r="C11" s="102">
        <f>416225</f>
        <v/>
      </c>
      <c r="D11" s="102">
        <f>749624</f>
        <v/>
      </c>
      <c r="E11" s="102">
        <f>1138001</f>
        <v/>
      </c>
      <c r="F11" s="102">
        <f>2234061</f>
        <v/>
      </c>
      <c r="G11" s="102">
        <f>366649</f>
        <v/>
      </c>
      <c r="H11" s="176">
        <f>G11*(1+CHOOSE(Assumptions!$D$3,Assumptions!$C$8,Assumptions!$D$8,Assumptions!$E$8))</f>
        <v/>
      </c>
      <c r="I11" s="176">
        <f>H11*(1+CHOOSE(Assumptions!$D$3,Assumptions!$F$9,Assumptions!$G$9,Assumptions!$H$9))</f>
        <v/>
      </c>
    </row>
    <row r="12">
      <c r="B12" s="103" t="inlineStr">
        <is>
          <t>Total Revenue</t>
        </is>
      </c>
      <c r="C12" s="104">
        <f>SUM(C4:C11)</f>
        <v/>
      </c>
      <c r="D12" s="104">
        <f>SUM(D4:D11)</f>
        <v/>
      </c>
      <c r="E12" s="104">
        <f>SUM(E4:E11)</f>
        <v/>
      </c>
      <c r="F12" s="104">
        <f>SUM(F4:F11)</f>
        <v/>
      </c>
      <c r="G12" s="104">
        <f>SUM(G4:G11)</f>
        <v/>
      </c>
      <c r="H12" s="176">
        <f>SUM(H4:H11)</f>
        <v/>
      </c>
      <c r="I12" s="176">
        <f>SUM(I4:I11)</f>
        <v/>
      </c>
    </row>
    <row r="14">
      <c r="A14" s="99" t="inlineStr">
        <is>
          <t>COST OF GOODS SOLD</t>
        </is>
      </c>
      <c r="B14" s="100" t="n"/>
      <c r="C14" s="100" t="n"/>
      <c r="D14" s="100" t="n"/>
      <c r="E14" s="100" t="n"/>
      <c r="F14" s="100" t="n"/>
      <c r="G14" s="100" t="n"/>
    </row>
    <row r="15">
      <c r="B15" s="101" t="inlineStr">
        <is>
          <t>Salaries &amp; Wages - Drivers</t>
        </is>
      </c>
      <c r="C15" s="102">
        <f>-15558437</f>
        <v/>
      </c>
      <c r="D15" s="102">
        <f>-21453444</f>
        <v/>
      </c>
      <c r="E15" s="102">
        <f>-21451675</f>
        <v/>
      </c>
      <c r="F15" s="102">
        <f>-19512028</f>
        <v/>
      </c>
      <c r="G15" s="102">
        <f>-15382340</f>
        <v/>
      </c>
      <c r="H15" s="176">
        <f>-H$12*CHOOSE(Assumptions!$D$3,Assumptions!$C$12,Assumptions!$D$12,Assumptions!$E$12)*(G15/G$27)</f>
        <v/>
      </c>
      <c r="I15" s="176">
        <f>-I$12*CHOOSE(Assumptions!$D$3,Assumptions!$F$12,Assumptions!$G$12,Assumptions!$H$12)*(G15/G$27)</f>
        <v/>
      </c>
    </row>
    <row r="16">
      <c r="B16" s="101" t="inlineStr">
        <is>
          <t>Employee Benefits</t>
        </is>
      </c>
      <c r="C16" s="102">
        <f>-2231103</f>
        <v/>
      </c>
      <c r="D16" s="102">
        <f>-2930567</f>
        <v/>
      </c>
      <c r="E16" s="102">
        <f>-3661418</f>
        <v/>
      </c>
      <c r="F16" s="102">
        <f>-3993044</f>
        <v/>
      </c>
      <c r="G16" s="102">
        <f>0</f>
        <v/>
      </c>
      <c r="H16" s="176">
        <f>-H$12*CHOOSE(Assumptions!$D$3,Assumptions!$C$12,Assumptions!$D$12,Assumptions!$E$12)*(G16/G$27)</f>
        <v/>
      </c>
      <c r="I16" s="176">
        <f>-I$12*CHOOSE(Assumptions!$D$3,Assumptions!$F$12,Assumptions!$G$12,Assumptions!$H$12)*(G16/G$27)</f>
        <v/>
      </c>
    </row>
    <row r="17">
      <c r="B17" s="101" t="inlineStr">
        <is>
          <t>COGS - Materials</t>
        </is>
      </c>
      <c r="C17" s="102">
        <f>-96401</f>
        <v/>
      </c>
      <c r="D17" s="102">
        <f>-149632</f>
        <v/>
      </c>
      <c r="E17" s="102">
        <f>-88699</f>
        <v/>
      </c>
      <c r="F17" s="102">
        <f>-127627</f>
        <v/>
      </c>
      <c r="G17" s="102">
        <f>0</f>
        <v/>
      </c>
      <c r="H17" s="176">
        <f>-H$12*CHOOSE(Assumptions!$D$3,Assumptions!$C$12,Assumptions!$D$12,Assumptions!$E$12)*(G17/G$27)</f>
        <v/>
      </c>
      <c r="I17" s="176">
        <f>-I$12*CHOOSE(Assumptions!$D$3,Assumptions!$F$12,Assumptions!$G$12,Assumptions!$H$12)*(G17/G$27)</f>
        <v/>
      </c>
    </row>
    <row r="18">
      <c r="B18" s="101" t="inlineStr">
        <is>
          <t>Fuel &amp; Oil</t>
        </is>
      </c>
      <c r="C18" s="102">
        <f>-6708074</f>
        <v/>
      </c>
      <c r="D18" s="102">
        <f>-11222605</f>
        <v/>
      </c>
      <c r="E18" s="102">
        <f>-8188747</f>
        <v/>
      </c>
      <c r="F18" s="102">
        <f>-7759386</f>
        <v/>
      </c>
      <c r="G18" s="102">
        <f>-5753958</f>
        <v/>
      </c>
      <c r="H18" s="176">
        <f>-H$12*CHOOSE(Assumptions!$D$3,Assumptions!$C$12,Assumptions!$D$12,Assumptions!$E$12)*(G18/G$27)</f>
        <v/>
      </c>
      <c r="I18" s="176">
        <f>-I$12*CHOOSE(Assumptions!$D$3,Assumptions!$F$12,Assumptions!$G$12,Assumptions!$H$12)*(G18/G$27)</f>
        <v/>
      </c>
    </row>
    <row r="19">
      <c r="B19" s="101" t="inlineStr">
        <is>
          <t>Repairs &amp; Maintenance</t>
        </is>
      </c>
      <c r="C19" s="102">
        <f>-2393790</f>
        <v/>
      </c>
      <c r="D19" s="102">
        <f>-3505881</f>
        <v/>
      </c>
      <c r="E19" s="102">
        <f>-3461086</f>
        <v/>
      </c>
      <c r="F19" s="102">
        <f>-2817424</f>
        <v/>
      </c>
      <c r="G19" s="102">
        <f>-867483</f>
        <v/>
      </c>
      <c r="H19" s="176">
        <f>-H$12*CHOOSE(Assumptions!$D$3,Assumptions!$C$12,Assumptions!$D$12,Assumptions!$E$12)*(G19/G$27)</f>
        <v/>
      </c>
      <c r="I19" s="176">
        <f>-I$12*CHOOSE(Assumptions!$D$3,Assumptions!$F$12,Assumptions!$G$12,Assumptions!$H$12)*(G19/G$27)</f>
        <v/>
      </c>
    </row>
    <row r="20">
      <c r="B20" s="101" t="inlineStr">
        <is>
          <t>Operating Supplies</t>
        </is>
      </c>
      <c r="C20" s="102">
        <f>-3105254</f>
        <v/>
      </c>
      <c r="D20" s="102">
        <f>-3479584</f>
        <v/>
      </c>
      <c r="E20" s="102">
        <f>-3871801</f>
        <v/>
      </c>
      <c r="F20" s="102">
        <f>-4117476</f>
        <v/>
      </c>
      <c r="G20" s="102">
        <f>-3918061</f>
        <v/>
      </c>
      <c r="H20" s="176">
        <f>-H$12*CHOOSE(Assumptions!$D$3,Assumptions!$C$12,Assumptions!$D$12,Assumptions!$E$12)*(G20/G$27)</f>
        <v/>
      </c>
      <c r="I20" s="176">
        <f>-I$12*CHOOSE(Assumptions!$D$3,Assumptions!$F$12,Assumptions!$G$12,Assumptions!$H$12)*(G20/G$27)</f>
        <v/>
      </c>
    </row>
    <row r="21">
      <c r="B21" s="101" t="inlineStr">
        <is>
          <t>Insurance - Operations</t>
        </is>
      </c>
      <c r="C21" s="102">
        <f>-989896</f>
        <v/>
      </c>
      <c r="D21" s="102">
        <f>-1473768</f>
        <v/>
      </c>
      <c r="E21" s="102">
        <f>-1658911</f>
        <v/>
      </c>
      <c r="F21" s="102">
        <f>-2222636</f>
        <v/>
      </c>
      <c r="G21" s="102">
        <f>-2236564</f>
        <v/>
      </c>
      <c r="H21" s="176">
        <f>-H$12*CHOOSE(Assumptions!$D$3,Assumptions!$C$12,Assumptions!$D$12,Assumptions!$E$12)*(G21/G$27)</f>
        <v/>
      </c>
      <c r="I21" s="176">
        <f>-I$12*CHOOSE(Assumptions!$D$3,Assumptions!$F$12,Assumptions!$G$12,Assumptions!$H$12)*(G21/G$27)</f>
        <v/>
      </c>
    </row>
    <row r="22">
      <c r="B22" s="101" t="inlineStr">
        <is>
          <t>Purchased Transportation</t>
        </is>
      </c>
      <c r="C22" s="102">
        <f>-18300990</f>
        <v/>
      </c>
      <c r="D22" s="102">
        <f>-28994056</f>
        <v/>
      </c>
      <c r="E22" s="102">
        <f>-24643637</f>
        <v/>
      </c>
      <c r="F22" s="102">
        <f>-26047440</f>
        <v/>
      </c>
      <c r="G22" s="102">
        <f>-35290529</f>
        <v/>
      </c>
      <c r="H22" s="176">
        <f>-H$12*CHOOSE(Assumptions!$D$3,Assumptions!$C$12,Assumptions!$D$12,Assumptions!$E$12)*(G22/G$27)</f>
        <v/>
      </c>
      <c r="I22" s="176">
        <f>-I$12*CHOOSE(Assumptions!$D$3,Assumptions!$F$12,Assumptions!$G$12,Assumptions!$H$12)*(G22/G$27)</f>
        <v/>
      </c>
    </row>
    <row r="23">
      <c r="B23" s="101" t="inlineStr">
        <is>
          <t>Equipment Rents</t>
        </is>
      </c>
      <c r="C23" s="102">
        <f>-905863</f>
        <v/>
      </c>
      <c r="D23" s="102">
        <f>-1055159</f>
        <v/>
      </c>
      <c r="E23" s="102">
        <f>-1595212</f>
        <v/>
      </c>
      <c r="F23" s="102">
        <f>-766301</f>
        <v/>
      </c>
      <c r="G23" s="102">
        <f>-1841137</f>
        <v/>
      </c>
      <c r="H23" s="176">
        <f>-H$12*CHOOSE(Assumptions!$D$3,Assumptions!$C$12,Assumptions!$D$12,Assumptions!$E$12)*(G23/G$27)</f>
        <v/>
      </c>
      <c r="I23" s="176">
        <f>-I$12*CHOOSE(Assumptions!$D$3,Assumptions!$F$12,Assumptions!$G$12,Assumptions!$H$12)*(G23/G$27)</f>
        <v/>
      </c>
    </row>
    <row r="24">
      <c r="B24" s="101" t="inlineStr">
        <is>
          <t>Depreciation &amp; Amortization</t>
        </is>
      </c>
      <c r="C24" s="102">
        <f>-5003117</f>
        <v/>
      </c>
      <c r="D24" s="102">
        <f>-6326609</f>
        <v/>
      </c>
      <c r="E24" s="102">
        <f>-7351132</f>
        <v/>
      </c>
      <c r="F24" s="102">
        <f>-8110113</f>
        <v/>
      </c>
      <c r="G24" s="102">
        <f>-7518967</f>
        <v/>
      </c>
      <c r="H24" s="176">
        <f>-H$12*CHOOSE(Assumptions!$D$3,Assumptions!$C$12,Assumptions!$D$12,Assumptions!$E$12)*(G24/G$27)</f>
        <v/>
      </c>
      <c r="I24" s="176">
        <f>-I$12*CHOOSE(Assumptions!$D$3,Assumptions!$F$12,Assumptions!$G$12,Assumptions!$H$12)*(G24/G$27)</f>
        <v/>
      </c>
    </row>
    <row r="25">
      <c r="B25" s="101" t="inlineStr">
        <is>
          <t>Gain on Asset Sales</t>
        </is>
      </c>
      <c r="C25" s="102">
        <f>248398</f>
        <v/>
      </c>
      <c r="D25" s="102">
        <f>1378969</f>
        <v/>
      </c>
      <c r="E25" s="102">
        <f>1712828</f>
        <v/>
      </c>
      <c r="F25" s="102">
        <f>259386</f>
        <v/>
      </c>
      <c r="G25" s="102">
        <f>87716</f>
        <v/>
      </c>
      <c r="H25" s="176">
        <f>G25</f>
        <v/>
      </c>
      <c r="I25" s="176">
        <f>H25</f>
        <v/>
      </c>
    </row>
    <row r="26">
      <c r="B26" s="101" t="inlineStr">
        <is>
          <t>Miscellaneous - COGS</t>
        </is>
      </c>
      <c r="C26" s="102">
        <f>-2207789</f>
        <v/>
      </c>
      <c r="D26" s="102">
        <f>-3693688</f>
        <v/>
      </c>
      <c r="E26" s="102">
        <f>-4278291</f>
        <v/>
      </c>
      <c r="F26" s="102">
        <f>-4910486</f>
        <v/>
      </c>
      <c r="G26" s="102">
        <f>-1763966</f>
        <v/>
      </c>
      <c r="H26" s="176">
        <f>-H$12*CHOOSE(Assumptions!$D$3,Assumptions!$C$12,Assumptions!$D$12,Assumptions!$E$12)*(G26/G$27)</f>
        <v/>
      </c>
      <c r="I26" s="176">
        <f>-I$12*CHOOSE(Assumptions!$D$3,Assumptions!$F$12,Assumptions!$G$12,Assumptions!$H$12)*(G26/G$27)</f>
        <v/>
      </c>
    </row>
    <row r="27">
      <c r="B27" s="103" t="inlineStr">
        <is>
          <t>Total COGS</t>
        </is>
      </c>
      <c r="C27" s="104">
        <f>SUM(C15:C26)</f>
        <v/>
      </c>
      <c r="D27" s="104">
        <f>SUM(D15:D26)</f>
        <v/>
      </c>
      <c r="E27" s="104">
        <f>SUM(E15:E26)</f>
        <v/>
      </c>
      <c r="F27" s="104">
        <f>SUM(F15:F26)</f>
        <v/>
      </c>
      <c r="G27" s="104">
        <f>SUM(G15:G26)</f>
        <v/>
      </c>
      <c r="H27" s="176">
        <f>SUM(H15:H26)</f>
        <v/>
      </c>
      <c r="I27" s="176">
        <f>SUM(I15:I26)</f>
        <v/>
      </c>
    </row>
    <row r="29">
      <c r="B29" s="103" t="inlineStr">
        <is>
          <t>Gross Profit</t>
        </is>
      </c>
      <c r="C29" s="104">
        <f>C12+C27</f>
        <v/>
      </c>
      <c r="D29" s="104">
        <f>D12+D27</f>
        <v/>
      </c>
      <c r="E29" s="104">
        <f>E12+E27</f>
        <v/>
      </c>
      <c r="F29" s="104">
        <f>F12+F27</f>
        <v/>
      </c>
      <c r="G29" s="104">
        <f>G12+G27</f>
        <v/>
      </c>
      <c r="H29" s="176">
        <f>H12+H27</f>
        <v/>
      </c>
      <c r="I29" s="176">
        <f>I12+I27</f>
        <v/>
      </c>
    </row>
    <row r="31">
      <c r="A31" s="99" t="inlineStr">
        <is>
          <t>OPERATING EXPENSES</t>
        </is>
      </c>
      <c r="B31" s="100" t="n"/>
      <c r="C31" s="100" t="n"/>
      <c r="D31" s="100" t="n"/>
      <c r="E31" s="100" t="n"/>
      <c r="F31" s="100" t="n"/>
      <c r="G31" s="100" t="n"/>
    </row>
    <row r="32">
      <c r="B32" s="101" t="inlineStr">
        <is>
          <t>Office Labor</t>
        </is>
      </c>
      <c r="C32" s="102">
        <f>0</f>
        <v/>
      </c>
      <c r="D32" s="102">
        <f>0</f>
        <v/>
      </c>
      <c r="E32" s="102">
        <f>0</f>
        <v/>
      </c>
      <c r="F32" s="102">
        <f>0</f>
        <v/>
      </c>
      <c r="G32" s="102">
        <f>-6255686</f>
        <v/>
      </c>
      <c r="H32" s="176">
        <f>G32*(1+CHOOSE(Assumptions!$D$3,Assumptions!$C$13,Assumptions!$D$13,Assumptions!$E$13))</f>
        <v/>
      </c>
      <c r="I32" s="176">
        <f>H32*(1+CHOOSE(Assumptions!$D$3,Assumptions!$F$13,Assumptions!$G$13,Assumptions!$H$13))</f>
        <v/>
      </c>
    </row>
    <row r="33">
      <c r="B33" s="101" t="inlineStr">
        <is>
          <t>Building Rent</t>
        </is>
      </c>
      <c r="C33" s="102">
        <f>-156577</f>
        <v/>
      </c>
      <c r="D33" s="102">
        <f>-2021994</f>
        <v/>
      </c>
      <c r="E33" s="102">
        <f>-4163438</f>
        <v/>
      </c>
      <c r="F33" s="102">
        <f>-6163042</f>
        <v/>
      </c>
      <c r="G33" s="102">
        <f>-12876980</f>
        <v/>
      </c>
      <c r="H33" s="176">
        <f>G33*(1+CHOOSE(Assumptions!$D$3,Assumptions!$C$13,Assumptions!$D$13,Assumptions!$E$13))</f>
        <v/>
      </c>
      <c r="I33" s="176">
        <f>H33*(1+CHOOSE(Assumptions!$D$3,Assumptions!$F$13,Assumptions!$G$13,Assumptions!$H$13))</f>
        <v/>
      </c>
    </row>
    <row r="34">
      <c r="B34" s="101" t="inlineStr">
        <is>
          <t>Office Supplies</t>
        </is>
      </c>
      <c r="C34" s="102">
        <f>0</f>
        <v/>
      </c>
      <c r="D34" s="102">
        <f>0</f>
        <v/>
      </c>
      <c r="E34" s="102">
        <f>0</f>
        <v/>
      </c>
      <c r="F34" s="102">
        <f>0</f>
        <v/>
      </c>
      <c r="G34" s="102">
        <f>-260805</f>
        <v/>
      </c>
      <c r="H34" s="176">
        <f>G34*(1+CHOOSE(Assumptions!$D$3,Assumptions!$C$13,Assumptions!$D$13,Assumptions!$E$13))</f>
        <v/>
      </c>
      <c r="I34" s="176">
        <f>H34*(1+CHOOSE(Assumptions!$D$3,Assumptions!$F$13,Assumptions!$G$13,Assumptions!$H$13))</f>
        <v/>
      </c>
    </row>
    <row r="35">
      <c r="B35" s="101" t="inlineStr">
        <is>
          <t>Computer Fees</t>
        </is>
      </c>
      <c r="C35" s="102">
        <f>0</f>
        <v/>
      </c>
      <c r="D35" s="102">
        <f>0</f>
        <v/>
      </c>
      <c r="E35" s="102">
        <f>0</f>
        <v/>
      </c>
      <c r="F35" s="102">
        <f>0</f>
        <v/>
      </c>
      <c r="G35" s="102">
        <f>-1380988</f>
        <v/>
      </c>
      <c r="H35" s="176">
        <f>G35*(1+CHOOSE(Assumptions!$D$3,Assumptions!$C$13,Assumptions!$D$13,Assumptions!$E$13))</f>
        <v/>
      </c>
      <c r="I35" s="176">
        <f>H35*(1+CHOOSE(Assumptions!$D$3,Assumptions!$F$13,Assumptions!$G$13,Assumptions!$H$13))</f>
        <v/>
      </c>
    </row>
    <row r="36">
      <c r="B36" s="101" t="inlineStr">
        <is>
          <t>Professional Fees</t>
        </is>
      </c>
      <c r="C36" s="102">
        <f>0</f>
        <v/>
      </c>
      <c r="D36" s="102">
        <f>0</f>
        <v/>
      </c>
      <c r="E36" s="102">
        <f>0</f>
        <v/>
      </c>
      <c r="F36" s="102">
        <f>0</f>
        <v/>
      </c>
      <c r="G36" s="102">
        <f>-2277495</f>
        <v/>
      </c>
      <c r="H36" s="176">
        <f>G36*(1+CHOOSE(Assumptions!$D$3,Assumptions!$C$13,Assumptions!$D$13,Assumptions!$E$13))</f>
        <v/>
      </c>
      <c r="I36" s="176">
        <f>H36*(1+CHOOSE(Assumptions!$D$3,Assumptions!$F$13,Assumptions!$G$13,Assumptions!$H$13))</f>
        <v/>
      </c>
    </row>
    <row r="37">
      <c r="B37" s="101" t="inlineStr">
        <is>
          <t>Building Expenses</t>
        </is>
      </c>
      <c r="C37" s="102">
        <f>0</f>
        <v/>
      </c>
      <c r="D37" s="102">
        <f>0</f>
        <v/>
      </c>
      <c r="E37" s="102">
        <f>0</f>
        <v/>
      </c>
      <c r="F37" s="102">
        <f>0</f>
        <v/>
      </c>
      <c r="G37" s="102">
        <f>-721036</f>
        <v/>
      </c>
      <c r="H37" s="176">
        <f>G37*(1+CHOOSE(Assumptions!$D$3,Assumptions!$C$13,Assumptions!$D$13,Assumptions!$E$13))</f>
        <v/>
      </c>
      <c r="I37" s="176">
        <f>H37*(1+CHOOSE(Assumptions!$D$3,Assumptions!$F$13,Assumptions!$G$13,Assumptions!$H$13))</f>
        <v/>
      </c>
    </row>
    <row r="38">
      <c r="B38" s="101" t="inlineStr">
        <is>
          <t>Utilities</t>
        </is>
      </c>
      <c r="C38" s="102">
        <f>0</f>
        <v/>
      </c>
      <c r="D38" s="102">
        <f>0</f>
        <v/>
      </c>
      <c r="E38" s="102">
        <f>0</f>
        <v/>
      </c>
      <c r="F38" s="102">
        <f>0</f>
        <v/>
      </c>
      <c r="G38" s="102">
        <f>-560847</f>
        <v/>
      </c>
      <c r="H38" s="176">
        <f>G38*(1+CHOOSE(Assumptions!$D$3,Assumptions!$C$13,Assumptions!$D$13,Assumptions!$E$13))</f>
        <v/>
      </c>
      <c r="I38" s="176">
        <f>H38*(1+CHOOSE(Assumptions!$D$3,Assumptions!$F$13,Assumptions!$G$13,Assumptions!$H$13))</f>
        <v/>
      </c>
    </row>
    <row r="39">
      <c r="B39" s="101" t="inlineStr">
        <is>
          <t>Advertising</t>
        </is>
      </c>
      <c r="C39" s="102">
        <f>0</f>
        <v/>
      </c>
      <c r="D39" s="102">
        <f>0</f>
        <v/>
      </c>
      <c r="E39" s="102">
        <f>0</f>
        <v/>
      </c>
      <c r="F39" s="102">
        <f>0</f>
        <v/>
      </c>
      <c r="G39" s="102">
        <f>-430477</f>
        <v/>
      </c>
      <c r="H39" s="176">
        <f>G39*(1+CHOOSE(Assumptions!$D$3,Assumptions!$C$13,Assumptions!$D$13,Assumptions!$E$13))</f>
        <v/>
      </c>
      <c r="I39" s="176">
        <f>H39*(1+CHOOSE(Assumptions!$D$3,Assumptions!$F$13,Assumptions!$G$13,Assumptions!$H$13))</f>
        <v/>
      </c>
    </row>
    <row r="40">
      <c r="B40" s="101" t="inlineStr">
        <is>
          <t>Travel &amp; Entertainment</t>
        </is>
      </c>
      <c r="C40" s="102">
        <f>0</f>
        <v/>
      </c>
      <c r="D40" s="102">
        <f>0</f>
        <v/>
      </c>
      <c r="E40" s="102">
        <f>0</f>
        <v/>
      </c>
      <c r="F40" s="102">
        <f>0</f>
        <v/>
      </c>
      <c r="G40" s="102">
        <f>-239257</f>
        <v/>
      </c>
      <c r="H40" s="176">
        <f>G40*(1+CHOOSE(Assumptions!$D$3,Assumptions!$C$13,Assumptions!$D$13,Assumptions!$E$13))</f>
        <v/>
      </c>
      <c r="I40" s="176">
        <f>H40*(1+CHOOSE(Assumptions!$D$3,Assumptions!$F$13,Assumptions!$G$13,Assumptions!$H$13))</f>
        <v/>
      </c>
    </row>
    <row r="41">
      <c r="B41" s="101" t="inlineStr">
        <is>
          <t>Safety &amp; Training</t>
        </is>
      </c>
      <c r="C41" s="102">
        <f>0</f>
        <v/>
      </c>
      <c r="D41" s="102">
        <f>0</f>
        <v/>
      </c>
      <c r="E41" s="102">
        <f>0</f>
        <v/>
      </c>
      <c r="F41" s="102">
        <f>0</f>
        <v/>
      </c>
      <c r="G41" s="102">
        <f>-209181</f>
        <v/>
      </c>
      <c r="H41" s="176">
        <f>G41*(1+CHOOSE(Assumptions!$D$3,Assumptions!$C$13,Assumptions!$D$13,Assumptions!$E$13))</f>
        <v/>
      </c>
      <c r="I41" s="176">
        <f>H41*(1+CHOOSE(Assumptions!$D$3,Assumptions!$F$13,Assumptions!$G$13,Assumptions!$H$13))</f>
        <v/>
      </c>
    </row>
    <row r="42">
      <c r="B42" s="101" t="inlineStr">
        <is>
          <t>Insurance - G&amp;A</t>
        </is>
      </c>
      <c r="C42" s="102">
        <f>0</f>
        <v/>
      </c>
      <c r="D42" s="102">
        <f>0</f>
        <v/>
      </c>
      <c r="E42" s="102">
        <f>0</f>
        <v/>
      </c>
      <c r="F42" s="102">
        <f>0</f>
        <v/>
      </c>
      <c r="G42" s="102">
        <f>-1202065</f>
        <v/>
      </c>
      <c r="H42" s="176">
        <f>G42*(1+CHOOSE(Assumptions!$D$3,Assumptions!$C$13,Assumptions!$D$13,Assumptions!$E$13))</f>
        <v/>
      </c>
      <c r="I42" s="176">
        <f>H42*(1+CHOOSE(Assumptions!$D$3,Assumptions!$F$13,Assumptions!$G$13,Assumptions!$H$13))</f>
        <v/>
      </c>
    </row>
    <row r="43">
      <c r="B43" s="101" t="inlineStr">
        <is>
          <t>Bank Fees</t>
        </is>
      </c>
      <c r="C43" s="102">
        <f>0</f>
        <v/>
      </c>
      <c r="D43" s="102">
        <f>0</f>
        <v/>
      </c>
      <c r="E43" s="102">
        <f>0</f>
        <v/>
      </c>
      <c r="F43" s="102">
        <f>0</f>
        <v/>
      </c>
      <c r="G43" s="102">
        <f>-656039</f>
        <v/>
      </c>
      <c r="H43" s="176">
        <f>G43*(1+CHOOSE(Assumptions!$D$3,Assumptions!$C$13,Assumptions!$D$13,Assumptions!$E$13))</f>
        <v/>
      </c>
      <c r="I43" s="176">
        <f>H43*(1+CHOOSE(Assumptions!$D$3,Assumptions!$F$13,Assumptions!$G$13,Assumptions!$H$13))</f>
        <v/>
      </c>
    </row>
    <row r="44">
      <c r="B44" s="103" t="inlineStr">
        <is>
          <t>Total Operating Expenses</t>
        </is>
      </c>
      <c r="C44" s="104">
        <f>SUM(C32:C43)</f>
        <v/>
      </c>
      <c r="D44" s="104">
        <f>SUM(D32:D43)</f>
        <v/>
      </c>
      <c r="E44" s="104">
        <f>SUM(E32:E43)</f>
        <v/>
      </c>
      <c r="F44" s="104">
        <f>SUM(F32:F43)</f>
        <v/>
      </c>
      <c r="G44" s="104">
        <f>SUM(G32:G43)</f>
        <v/>
      </c>
      <c r="H44" s="176">
        <f>SUM(H32:H43)</f>
        <v/>
      </c>
      <c r="I44" s="176">
        <f>SUM(I32:I43)</f>
        <v/>
      </c>
    </row>
    <row r="46">
      <c r="B46" s="103" t="inlineStr">
        <is>
          <t>EBIT (Operating Income)</t>
        </is>
      </c>
      <c r="C46" s="104">
        <f>C29+C44</f>
        <v/>
      </c>
      <c r="D46" s="104">
        <f>D29+D44</f>
        <v/>
      </c>
      <c r="E46" s="104">
        <f>E29+E44</f>
        <v/>
      </c>
      <c r="F46" s="104">
        <f>F29+F44</f>
        <v/>
      </c>
      <c r="G46" s="104">
        <f>G29+G44</f>
        <v/>
      </c>
      <c r="H46" s="176">
        <f>H29+H44</f>
        <v/>
      </c>
      <c r="I46" s="176">
        <f>I29+I44</f>
        <v/>
      </c>
    </row>
    <row r="47">
      <c r="B47" s="103" t="inlineStr">
        <is>
          <t>D&amp;A Addback</t>
        </is>
      </c>
      <c r="C47" s="105">
        <f>-C24</f>
        <v/>
      </c>
      <c r="D47" s="105">
        <f>-D24</f>
        <v/>
      </c>
      <c r="E47" s="105">
        <f>-E24</f>
        <v/>
      </c>
      <c r="F47" s="105">
        <f>-F24</f>
        <v/>
      </c>
      <c r="G47" s="105">
        <f>-G24</f>
        <v/>
      </c>
      <c r="H47" s="176">
        <f>-H24</f>
        <v/>
      </c>
      <c r="I47" s="176">
        <f>-I24</f>
        <v/>
      </c>
    </row>
    <row r="48">
      <c r="B48" s="103" t="inlineStr">
        <is>
          <t>EBITDA</t>
        </is>
      </c>
      <c r="C48" s="106">
        <f>C46+C47</f>
        <v/>
      </c>
      <c r="D48" s="106">
        <f>D46+D47</f>
        <v/>
      </c>
      <c r="E48" s="106">
        <f>E46+E47</f>
        <v/>
      </c>
      <c r="F48" s="106">
        <f>F46+F47</f>
        <v/>
      </c>
      <c r="G48" s="106">
        <f>G46+G47</f>
        <v/>
      </c>
      <c r="H48" s="176">
        <f>H46+H47</f>
        <v/>
      </c>
      <c r="I48" s="176">
        <f>I46+I47</f>
        <v/>
      </c>
    </row>
    <row r="50">
      <c r="A50" s="99" t="inlineStr">
        <is>
          <t>INTEREST &amp; OTHER</t>
        </is>
      </c>
      <c r="B50" s="100" t="n"/>
      <c r="C50" s="100" t="n"/>
      <c r="D50" s="100" t="n"/>
      <c r="E50" s="100" t="n"/>
      <c r="F50" s="100" t="n"/>
      <c r="G50" s="100" t="n"/>
    </row>
    <row r="51">
      <c r="B51" s="101" t="inlineStr">
        <is>
          <t>Interest Expense</t>
        </is>
      </c>
      <c r="C51" s="102">
        <f>-1012985</f>
        <v/>
      </c>
      <c r="D51" s="102">
        <f>-1341181</f>
        <v/>
      </c>
      <c r="E51" s="102">
        <f>-1883811</f>
        <v/>
      </c>
      <c r="F51" s="102">
        <f>-2145851</f>
        <v/>
      </c>
      <c r="G51" s="102">
        <f>-2186957</f>
        <v/>
      </c>
      <c r="H51" s="118">
        <f>'Debt Schedule'!F32</f>
        <v/>
      </c>
      <c r="I51" s="118">
        <f>'Debt Schedule'!G32</f>
        <v/>
      </c>
    </row>
    <row r="52">
      <c r="B52" s="101" t="inlineStr">
        <is>
          <t>Interest Income</t>
        </is>
      </c>
      <c r="C52" s="102">
        <f>0</f>
        <v/>
      </c>
      <c r="D52" s="102">
        <f>0</f>
        <v/>
      </c>
      <c r="E52" s="102">
        <f>45437</f>
        <v/>
      </c>
      <c r="F52" s="102">
        <f>24128</f>
        <v/>
      </c>
      <c r="G52" s="102">
        <f>33</f>
        <v/>
      </c>
      <c r="H52" s="176">
        <f>G52</f>
        <v/>
      </c>
      <c r="I52" s="176">
        <f>H52</f>
        <v/>
      </c>
    </row>
    <row r="53">
      <c r="B53" s="101" t="inlineStr">
        <is>
          <t>Other Income / (Expense)</t>
        </is>
      </c>
      <c r="C53" s="102">
        <f>2057198</f>
        <v/>
      </c>
      <c r="D53" s="102">
        <f>-204412</f>
        <v/>
      </c>
      <c r="E53" s="102">
        <f>2763414</f>
        <v/>
      </c>
      <c r="F53" s="102">
        <f>457679</f>
        <v/>
      </c>
      <c r="G53" s="102">
        <f>-4895893</f>
        <v/>
      </c>
      <c r="H53" s="176">
        <f>G53</f>
        <v/>
      </c>
      <c r="I53" s="176">
        <f>H53</f>
        <v/>
      </c>
    </row>
    <row r="54">
      <c r="B54" s="103" t="inlineStr">
        <is>
          <t>Total Interest &amp; Other</t>
        </is>
      </c>
      <c r="C54" s="104">
        <f>SUM(C51:C53)</f>
        <v/>
      </c>
      <c r="D54" s="104">
        <f>SUM(D51:D53)</f>
        <v/>
      </c>
      <c r="E54" s="104">
        <f>SUM(E51:E53)</f>
        <v/>
      </c>
      <c r="F54" s="104">
        <f>SUM(F51:F53)</f>
        <v/>
      </c>
      <c r="G54" s="104">
        <f>SUM(G51:G53)</f>
        <v/>
      </c>
      <c r="H54" s="176">
        <f>SUM(H51:H53)</f>
        <v/>
      </c>
      <c r="I54" s="176">
        <f>SUM(I51:I53)</f>
        <v/>
      </c>
    </row>
    <row r="56">
      <c r="B56" s="103" t="inlineStr">
        <is>
          <t>Pre-Tax Income (EBT)</t>
        </is>
      </c>
      <c r="C56" s="104">
        <f>C46+C54</f>
        <v/>
      </c>
      <c r="D56" s="104">
        <f>D46+D54</f>
        <v/>
      </c>
      <c r="E56" s="104">
        <f>E46+E54</f>
        <v/>
      </c>
      <c r="F56" s="104">
        <f>F46+F54</f>
        <v/>
      </c>
      <c r="G56" s="104">
        <f>G46+G54</f>
        <v/>
      </c>
      <c r="H56" s="176">
        <f>H46+H54</f>
        <v/>
      </c>
      <c r="I56" s="176">
        <f>I46+I54</f>
        <v/>
      </c>
    </row>
    <row r="57">
      <c r="B57" s="101" t="inlineStr">
        <is>
          <t>Tax Expense</t>
        </is>
      </c>
      <c r="C57" s="102">
        <f>0</f>
        <v/>
      </c>
      <c r="D57" s="102">
        <f>0</f>
        <v/>
      </c>
      <c r="E57" s="102">
        <f>0</f>
        <v/>
      </c>
      <c r="F57" s="102">
        <f>0</f>
        <v/>
      </c>
      <c r="G57" s="102">
        <f>-1206</f>
        <v/>
      </c>
      <c r="H57" s="176">
        <f>-MAX(0,H56)*CHOOSE(Assumptions!$D$3,Assumptions!$C$30,Assumptions!$D$30,Assumptions!$E$30)</f>
        <v/>
      </c>
      <c r="I57" s="176">
        <f>-MAX(0,I56)*CHOOSE(Assumptions!$D$3,Assumptions!$F$30,Assumptions!$G$30,Assumptions!$H$30)</f>
        <v/>
      </c>
    </row>
    <row r="58">
      <c r="B58" s="103" t="inlineStr">
        <is>
          <t>Net Income</t>
        </is>
      </c>
      <c r="C58" s="106">
        <f>C56+C57</f>
        <v/>
      </c>
      <c r="D58" s="106">
        <f>D56+D57</f>
        <v/>
      </c>
      <c r="E58" s="106">
        <f>E56+E57</f>
        <v/>
      </c>
      <c r="F58" s="106">
        <f>F56+F57</f>
        <v/>
      </c>
      <c r="G58" s="106">
        <f>G56+G57</f>
        <v/>
      </c>
      <c r="H58" s="176">
        <f>H56+H57</f>
        <v/>
      </c>
      <c r="I58" s="176">
        <f>I56+I57</f>
        <v/>
      </c>
    </row>
    <row r="60">
      <c r="A60" s="107" t="inlineStr">
        <is>
          <t>INTEREST EXPENSE REFERENCE</t>
        </is>
      </c>
      <c r="B60" s="108" t="n"/>
      <c r="C60" s="108" t="n"/>
      <c r="D60" s="108" t="n"/>
      <c r="E60" s="108" t="n"/>
      <c r="F60" s="108" t="n"/>
      <c r="G60" s="108" t="n"/>
    </row>
    <row r="61">
      <c r="B61" s="109" t="inlineStr">
        <is>
          <t>Interest per Debt Schedule [-&gt; DS]</t>
        </is>
      </c>
      <c r="C61" s="110">
        <f>C51</f>
        <v/>
      </c>
      <c r="D61" s="110">
        <f>D51</f>
        <v/>
      </c>
      <c r="E61" s="110">
        <f>E51</f>
        <v/>
      </c>
      <c r="F61" s="160">
        <f>'Debt Schedule'!D32</f>
        <v/>
      </c>
      <c r="G61" s="160">
        <f>'Debt Schedule'!E32</f>
        <v/>
      </c>
      <c r="H61" s="118">
        <f>'Debt Schedule'!F32</f>
        <v/>
      </c>
      <c r="I61" s="118">
        <f>'Debt Schedule'!G32</f>
        <v/>
      </c>
    </row>
    <row r="62">
      <c r="B62" s="111" t="inlineStr">
        <is>
          <t>DS vs. Document Variance (must be 0)</t>
        </is>
      </c>
      <c r="C62" s="112">
        <f>C61-C51</f>
        <v/>
      </c>
      <c r="D62" s="112">
        <f>D61-D51</f>
        <v/>
      </c>
      <c r="E62" s="112">
        <f>E61-E51</f>
        <v/>
      </c>
      <c r="F62" s="112">
        <f>F61-F51</f>
        <v/>
      </c>
      <c r="G62" s="112">
        <f>G61-G51</f>
        <v/>
      </c>
      <c r="H62" s="176">
        <f>H61-H51</f>
        <v/>
      </c>
      <c r="I62" s="176">
        <f>I61-I51</f>
        <v/>
      </c>
    </row>
    <row r="64">
      <c r="A64" s="5" t="inlineStr">
        <is>
          <t>ANALYST REFERENCE</t>
        </is>
      </c>
      <c r="B64" s="6" t="n"/>
      <c r="C64" s="6" t="n"/>
      <c r="D64" s="6" t="n"/>
      <c r="E64" s="6" t="n"/>
      <c r="F64" s="6" t="n"/>
      <c r="G64" s="6" t="n"/>
    </row>
    <row r="65">
      <c r="B65" s="111" t="inlineStr">
        <is>
          <t>Net Income Variance (must be 0)</t>
        </is>
      </c>
      <c r="C65" s="112">
        <f>C58-(6142050)</f>
        <v/>
      </c>
      <c r="D65" s="112">
        <f>D58-(3608823)</f>
        <v/>
      </c>
      <c r="E65" s="112">
        <f>E58-(2335455)</f>
        <v/>
      </c>
      <c r="F65" s="112">
        <f>F58-(-265487)</f>
        <v/>
      </c>
      <c r="G65" s="112">
        <f>G58-(791575)</f>
        <v/>
      </c>
      <c r="H65" s="177">
        <f>0</f>
        <v/>
      </c>
      <c r="I65" s="177">
        <f>0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182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70" t="inlineStr">
        <is>
          <t>COMMONWEALTH REAL ESTATE LOANS - INTEREST ONLY</t>
        </is>
      </c>
    </row>
    <row r="3">
      <c r="A3" s="76" t="inlineStr">
        <is>
          <t>LENDER SUMMARY</t>
        </is>
      </c>
    </row>
    <row r="4">
      <c r="A4" s="41" t="inlineStr">
        <is>
          <t>Metric</t>
        </is>
      </c>
      <c r="B4" s="41" t="inlineStr">
        <is>
          <t>Loan 1: 11th St</t>
        </is>
      </c>
      <c r="C4" s="41" t="inlineStr">
        <is>
          <t>Loan 2: Harrison</t>
        </is>
      </c>
      <c r="D4" s="41" t="inlineStr">
        <is>
          <t>Total</t>
        </is>
      </c>
    </row>
    <row r="5">
      <c r="A5" s="34" t="inlineStr">
        <is>
          <t>Opening Balance</t>
        </is>
      </c>
      <c r="B5" s="35" t="n">
        <v>4160000</v>
      </c>
      <c r="C5" s="35" t="n">
        <v>8840000</v>
      </c>
      <c r="D5" s="72">
        <f>B5+C5</f>
        <v/>
      </c>
    </row>
    <row r="6">
      <c r="A6" s="34" t="inlineStr">
        <is>
          <t>Interest Rate</t>
        </is>
      </c>
      <c r="B6" s="36" t="n">
        <v>0.09</v>
      </c>
      <c r="C6" s="36" t="n">
        <v>0.09</v>
      </c>
      <c r="D6" s="34" t="inlineStr">
        <is>
          <t>N/A</t>
        </is>
      </c>
    </row>
    <row r="7">
      <c r="A7" s="34" t="inlineStr">
        <is>
          <t>Monthly Payment</t>
        </is>
      </c>
      <c r="B7" s="35" t="n">
        <v>31200</v>
      </c>
      <c r="C7" s="35" t="n">
        <v>66300</v>
      </c>
      <c r="D7" s="72">
        <f>B7+C7</f>
        <v/>
      </c>
    </row>
    <row r="8">
      <c r="A8" s="34" t="inlineStr">
        <is>
          <t>Annual Interest Expense</t>
        </is>
      </c>
      <c r="B8" s="72">
        <f>B7*12</f>
        <v/>
      </c>
      <c r="C8" s="72">
        <f>C7*12</f>
        <v/>
      </c>
      <c r="D8" s="72">
        <f>B8+C8</f>
        <v/>
      </c>
    </row>
    <row r="9">
      <c r="A9" s="34" t="inlineStr">
        <is>
          <t>Maturity Date</t>
        </is>
      </c>
      <c r="B9" s="113" t="n">
        <v>53203</v>
      </c>
      <c r="C9" s="113" t="n">
        <v>53203</v>
      </c>
      <c r="D9" s="34" t="inlineStr">
        <is>
          <t>N/A</t>
        </is>
      </c>
    </row>
    <row r="10">
      <c r="A10" s="34" t="inlineStr">
        <is>
          <t>Loan Type</t>
        </is>
      </c>
      <c r="B10" s="67" t="inlineStr">
        <is>
          <t>INTEREST_ONLY_BALLOON</t>
        </is>
      </c>
      <c r="C10" s="67" t="inlineStr">
        <is>
          <t>INTEREST_ONLY_BALLOON</t>
        </is>
      </c>
      <c r="D10" s="34" t="inlineStr">
        <is>
          <t>N/A</t>
        </is>
      </c>
    </row>
    <row r="12">
      <c r="A12" s="17" t="inlineStr">
        <is>
          <t>AI ANALYSIS</t>
        </is>
      </c>
    </row>
    <row r="13">
      <c r="A13" s="6" t="inlineStr">
        <is>
          <t>Loan Classification: Interest-Only Balloon (Real Estate Secured)</t>
        </is>
      </c>
    </row>
    <row r="14">
      <c r="A14" s="6" t="inlineStr">
        <is>
          <t>Payment Structure: Monthly interest = Principal * 9.00% / 12. No principal reduction.</t>
        </is>
      </c>
    </row>
    <row r="15">
      <c r="A15" s="6" t="inlineStr">
        <is>
          <t>Balloon Risk: Full principal ($13M) due at maturity in August 2045.</t>
        </is>
      </c>
    </row>
    <row r="16">
      <c r="A16" s="6" t="inlineStr">
        <is>
          <t>Properties: 11th St ($4.16M) and Harrison ($8.84M) - commercial real estate.</t>
        </is>
      </c>
    </row>
    <row r="17">
      <c r="A17" s="6" t="inlineStr">
        <is>
          <t>Origination: Both loans originated August 29, 2025.</t>
        </is>
      </c>
    </row>
    <row r="18">
      <c r="A18" s="6" t="inlineStr">
        <is>
          <t>Note: Interest-only structure means closing balance = opening balance until maturity.</t>
        </is>
      </c>
    </row>
    <row r="19">
      <c r="A19" s="6" t="inlineStr">
        <is>
          <t>Model Treatment: These loans feed into Debt Schedule as non-amortizing real estate debt.</t>
        </is>
      </c>
    </row>
    <row r="21">
      <c r="A21" s="39" t="inlineStr">
        <is>
          <t>LOAN 1: 11th St Property - Monthly Interest Schedule</t>
        </is>
      </c>
    </row>
    <row r="22">
      <c r="A22" s="41" t="inlineStr">
        <is>
          <t>Loan ID</t>
        </is>
      </c>
      <c r="B22" s="67" t="inlineStr">
        <is>
          <t>08-2927-000-000-00</t>
        </is>
      </c>
    </row>
    <row r="23">
      <c r="A23" s="41" t="inlineStr">
        <is>
          <t>Property</t>
        </is>
      </c>
      <c r="B23" s="67" t="inlineStr">
        <is>
          <t>11th St</t>
        </is>
      </c>
    </row>
    <row r="24">
      <c r="A24" s="41" t="inlineStr">
        <is>
          <t>Opening Balance</t>
        </is>
      </c>
      <c r="B24" s="35" t="n">
        <v>4160000</v>
      </c>
    </row>
    <row r="25">
      <c r="A25" s="41" t="inlineStr">
        <is>
          <t>Annual Rate</t>
        </is>
      </c>
      <c r="B25" s="36" t="n">
        <v>0.09</v>
      </c>
    </row>
    <row r="26">
      <c r="A26" s="41" t="inlineStr">
        <is>
          <t>Monthly Payment</t>
        </is>
      </c>
      <c r="B26" s="35" t="n">
        <v>31200</v>
      </c>
    </row>
    <row r="27">
      <c r="A27" s="41" t="inlineStr">
        <is>
          <t>Origination Date</t>
        </is>
      </c>
      <c r="B27" s="113" t="n">
        <v>45898</v>
      </c>
    </row>
    <row r="28">
      <c r="A28" s="41" t="inlineStr">
        <is>
          <t>Maturity Date</t>
        </is>
      </c>
      <c r="B28" s="113" t="n">
        <v>53203</v>
      </c>
    </row>
    <row r="29">
      <c r="A29" s="41" t="inlineStr">
        <is>
          <t>Loan Type</t>
        </is>
      </c>
      <c r="B29" s="67" t="inlineStr">
        <is>
          <t>INTEREST_ONLY_BALLOON</t>
        </is>
      </c>
    </row>
    <row r="31">
      <c r="A31" s="62" t="inlineStr">
        <is>
          <t>Month #</t>
        </is>
      </c>
      <c r="B31" s="62" t="inlineStr">
        <is>
          <t>Date</t>
        </is>
      </c>
      <c r="C31" s="62" t="inlineStr">
        <is>
          <t>Opening Balance</t>
        </is>
      </c>
      <c r="D31" s="62" t="inlineStr">
        <is>
          <t>Interest</t>
        </is>
      </c>
      <c r="E31" s="62" t="inlineStr">
        <is>
          <t>Principal</t>
        </is>
      </c>
      <c r="F31" s="62" t="inlineStr">
        <is>
          <t>Closing Balance</t>
        </is>
      </c>
    </row>
    <row r="32">
      <c r="A32" s="34" t="n">
        <v>1</v>
      </c>
      <c r="B32" s="13" t="n">
        <v>45901</v>
      </c>
      <c r="C32" s="72">
        <f>$B$24</f>
        <v/>
      </c>
      <c r="D32" s="72">
        <f>MAX(0,C32*$B$25/12)</f>
        <v/>
      </c>
      <c r="E32" s="72">
        <f>0</f>
        <v/>
      </c>
      <c r="F32" s="72">
        <f>MAX(0,C32-E32)</f>
        <v/>
      </c>
    </row>
    <row r="33">
      <c r="A33" s="34" t="n">
        <v>2</v>
      </c>
      <c r="B33" s="13" t="n">
        <v>45931</v>
      </c>
      <c r="C33" s="72">
        <f>F32</f>
        <v/>
      </c>
      <c r="D33" s="72">
        <f>MAX(0,C33*$B$25/12)</f>
        <v/>
      </c>
      <c r="E33" s="72">
        <f>0</f>
        <v/>
      </c>
      <c r="F33" s="72">
        <f>MAX(0,C33-E33)</f>
        <v/>
      </c>
    </row>
    <row r="34">
      <c r="A34" s="34" t="n">
        <v>3</v>
      </c>
      <c r="B34" s="13" t="n">
        <v>45962</v>
      </c>
      <c r="C34" s="72">
        <f>F33</f>
        <v/>
      </c>
      <c r="D34" s="72">
        <f>MAX(0,C34*$B$25/12)</f>
        <v/>
      </c>
      <c r="E34" s="72">
        <f>0</f>
        <v/>
      </c>
      <c r="F34" s="72">
        <f>MAX(0,C34-E34)</f>
        <v/>
      </c>
    </row>
    <row r="35">
      <c r="A35" s="34" t="n">
        <v>4</v>
      </c>
      <c r="B35" s="13" t="n">
        <v>45992</v>
      </c>
      <c r="C35" s="72">
        <f>F34</f>
        <v/>
      </c>
      <c r="D35" s="72">
        <f>MAX(0,C35*$B$25/12)</f>
        <v/>
      </c>
      <c r="E35" s="72">
        <f>0</f>
        <v/>
      </c>
      <c r="F35" s="72">
        <f>MAX(0,C35-E35)</f>
        <v/>
      </c>
    </row>
    <row r="36">
      <c r="A36" s="34" t="n">
        <v>5</v>
      </c>
      <c r="B36" s="13" t="n">
        <v>46023</v>
      </c>
      <c r="C36" s="72">
        <f>F35</f>
        <v/>
      </c>
      <c r="D36" s="72">
        <f>MAX(0,C36*$B$25/12)</f>
        <v/>
      </c>
      <c r="E36" s="72">
        <f>0</f>
        <v/>
      </c>
      <c r="F36" s="72">
        <f>MAX(0,C36-E36)</f>
        <v/>
      </c>
    </row>
    <row r="37">
      <c r="A37" s="34" t="n">
        <v>6</v>
      </c>
      <c r="B37" s="13" t="n">
        <v>46054</v>
      </c>
      <c r="C37" s="72">
        <f>F36</f>
        <v/>
      </c>
      <c r="D37" s="72">
        <f>MAX(0,C37*$B$25/12)</f>
        <v/>
      </c>
      <c r="E37" s="72">
        <f>0</f>
        <v/>
      </c>
      <c r="F37" s="72">
        <f>MAX(0,C37-E37)</f>
        <v/>
      </c>
    </row>
    <row r="38">
      <c r="A38" s="34" t="n">
        <v>7</v>
      </c>
      <c r="B38" s="13" t="n">
        <v>46082</v>
      </c>
      <c r="C38" s="72">
        <f>F37</f>
        <v/>
      </c>
      <c r="D38" s="72">
        <f>MAX(0,C38*$B$25/12)</f>
        <v/>
      </c>
      <c r="E38" s="72">
        <f>0</f>
        <v/>
      </c>
      <c r="F38" s="72">
        <f>MAX(0,C38-E38)</f>
        <v/>
      </c>
    </row>
    <row r="39">
      <c r="A39" s="34" t="n">
        <v>8</v>
      </c>
      <c r="B39" s="13" t="n">
        <v>46113</v>
      </c>
      <c r="C39" s="72">
        <f>F38</f>
        <v/>
      </c>
      <c r="D39" s="72">
        <f>MAX(0,C39*$B$25/12)</f>
        <v/>
      </c>
      <c r="E39" s="72">
        <f>0</f>
        <v/>
      </c>
      <c r="F39" s="72">
        <f>MAX(0,C39-E39)</f>
        <v/>
      </c>
    </row>
    <row r="40">
      <c r="A40" s="34" t="n">
        <v>9</v>
      </c>
      <c r="B40" s="13" t="n">
        <v>46143</v>
      </c>
      <c r="C40" s="72">
        <f>F39</f>
        <v/>
      </c>
      <c r="D40" s="72">
        <f>MAX(0,C40*$B$25/12)</f>
        <v/>
      </c>
      <c r="E40" s="72">
        <f>0</f>
        <v/>
      </c>
      <c r="F40" s="72">
        <f>MAX(0,C40-E40)</f>
        <v/>
      </c>
    </row>
    <row r="41">
      <c r="A41" s="34" t="n">
        <v>10</v>
      </c>
      <c r="B41" s="13" t="n">
        <v>46174</v>
      </c>
      <c r="C41" s="72">
        <f>F40</f>
        <v/>
      </c>
      <c r="D41" s="72">
        <f>MAX(0,C41*$B$25/12)</f>
        <v/>
      </c>
      <c r="E41" s="72">
        <f>0</f>
        <v/>
      </c>
      <c r="F41" s="72">
        <f>MAX(0,C41-E41)</f>
        <v/>
      </c>
    </row>
    <row r="42">
      <c r="A42" s="34" t="n">
        <v>11</v>
      </c>
      <c r="B42" s="13" t="n">
        <v>46204</v>
      </c>
      <c r="C42" s="72">
        <f>F41</f>
        <v/>
      </c>
      <c r="D42" s="72">
        <f>MAX(0,C42*$B$25/12)</f>
        <v/>
      </c>
      <c r="E42" s="72">
        <f>0</f>
        <v/>
      </c>
      <c r="F42" s="72">
        <f>MAX(0,C42-E42)</f>
        <v/>
      </c>
    </row>
    <row r="43">
      <c r="A43" s="34" t="n">
        <v>12</v>
      </c>
      <c r="B43" s="13" t="n">
        <v>46235</v>
      </c>
      <c r="C43" s="72">
        <f>F42</f>
        <v/>
      </c>
      <c r="D43" s="72">
        <f>MAX(0,C43*$B$25/12)</f>
        <v/>
      </c>
      <c r="E43" s="72">
        <f>0</f>
        <v/>
      </c>
      <c r="F43" s="72">
        <f>MAX(0,C43-E43)</f>
        <v/>
      </c>
    </row>
    <row r="44">
      <c r="A44" s="34" t="n">
        <v>13</v>
      </c>
      <c r="B44" s="13" t="n">
        <v>46266</v>
      </c>
      <c r="C44" s="72">
        <f>F43</f>
        <v/>
      </c>
      <c r="D44" s="72">
        <f>MAX(0,C44*$B$25/12)</f>
        <v/>
      </c>
      <c r="E44" s="72">
        <f>0</f>
        <v/>
      </c>
      <c r="F44" s="72">
        <f>MAX(0,C44-E44)</f>
        <v/>
      </c>
    </row>
    <row r="45">
      <c r="A45" s="34" t="n">
        <v>14</v>
      </c>
      <c r="B45" s="13" t="n">
        <v>46296</v>
      </c>
      <c r="C45" s="72">
        <f>F44</f>
        <v/>
      </c>
      <c r="D45" s="72">
        <f>MAX(0,C45*$B$25/12)</f>
        <v/>
      </c>
      <c r="E45" s="72">
        <f>0</f>
        <v/>
      </c>
      <c r="F45" s="72">
        <f>MAX(0,C45-E45)</f>
        <v/>
      </c>
    </row>
    <row r="46">
      <c r="A46" s="34" t="n">
        <v>15</v>
      </c>
      <c r="B46" s="13" t="n">
        <v>46327</v>
      </c>
      <c r="C46" s="72">
        <f>F45</f>
        <v/>
      </c>
      <c r="D46" s="72">
        <f>MAX(0,C46*$B$25/12)</f>
        <v/>
      </c>
      <c r="E46" s="72">
        <f>0</f>
        <v/>
      </c>
      <c r="F46" s="72">
        <f>MAX(0,C46-E46)</f>
        <v/>
      </c>
    </row>
    <row r="47">
      <c r="A47" s="34" t="n">
        <v>16</v>
      </c>
      <c r="B47" s="13" t="n">
        <v>46357</v>
      </c>
      <c r="C47" s="72">
        <f>F46</f>
        <v/>
      </c>
      <c r="D47" s="72">
        <f>MAX(0,C47*$B$25/12)</f>
        <v/>
      </c>
      <c r="E47" s="72">
        <f>0</f>
        <v/>
      </c>
      <c r="F47" s="72">
        <f>MAX(0,C47-E47)</f>
        <v/>
      </c>
    </row>
    <row r="48">
      <c r="A48" s="34" t="n">
        <v>17</v>
      </c>
      <c r="B48" s="13" t="n">
        <v>46388</v>
      </c>
      <c r="C48" s="72">
        <f>F47</f>
        <v/>
      </c>
      <c r="D48" s="72">
        <f>MAX(0,C48*$B$25/12)</f>
        <v/>
      </c>
      <c r="E48" s="72">
        <f>0</f>
        <v/>
      </c>
      <c r="F48" s="72">
        <f>MAX(0,C48-E48)</f>
        <v/>
      </c>
    </row>
    <row r="49">
      <c r="A49" s="34" t="n">
        <v>18</v>
      </c>
      <c r="B49" s="13" t="n">
        <v>46419</v>
      </c>
      <c r="C49" s="72">
        <f>F48</f>
        <v/>
      </c>
      <c r="D49" s="72">
        <f>MAX(0,C49*$B$25/12)</f>
        <v/>
      </c>
      <c r="E49" s="72">
        <f>0</f>
        <v/>
      </c>
      <c r="F49" s="72">
        <f>MAX(0,C49-E49)</f>
        <v/>
      </c>
    </row>
    <row r="50">
      <c r="A50" s="34" t="n">
        <v>19</v>
      </c>
      <c r="B50" s="13" t="n">
        <v>46447</v>
      </c>
      <c r="C50" s="72">
        <f>F49</f>
        <v/>
      </c>
      <c r="D50" s="72">
        <f>MAX(0,C50*$B$25/12)</f>
        <v/>
      </c>
      <c r="E50" s="72">
        <f>0</f>
        <v/>
      </c>
      <c r="F50" s="72">
        <f>MAX(0,C50-E50)</f>
        <v/>
      </c>
    </row>
    <row r="51">
      <c r="A51" s="34" t="n">
        <v>20</v>
      </c>
      <c r="B51" s="13" t="n">
        <v>46478</v>
      </c>
      <c r="C51" s="72">
        <f>F50</f>
        <v/>
      </c>
      <c r="D51" s="72">
        <f>MAX(0,C51*$B$25/12)</f>
        <v/>
      </c>
      <c r="E51" s="72">
        <f>0</f>
        <v/>
      </c>
      <c r="F51" s="72">
        <f>MAX(0,C51-E51)</f>
        <v/>
      </c>
    </row>
    <row r="52">
      <c r="A52" s="34" t="n">
        <v>21</v>
      </c>
      <c r="B52" s="13" t="n">
        <v>46508</v>
      </c>
      <c r="C52" s="72">
        <f>F51</f>
        <v/>
      </c>
      <c r="D52" s="72">
        <f>MAX(0,C52*$B$25/12)</f>
        <v/>
      </c>
      <c r="E52" s="72">
        <f>0</f>
        <v/>
      </c>
      <c r="F52" s="72">
        <f>MAX(0,C52-E52)</f>
        <v/>
      </c>
    </row>
    <row r="53">
      <c r="A53" s="34" t="n">
        <v>22</v>
      </c>
      <c r="B53" s="13" t="n">
        <v>46539</v>
      </c>
      <c r="C53" s="72">
        <f>F52</f>
        <v/>
      </c>
      <c r="D53" s="72">
        <f>MAX(0,C53*$B$25/12)</f>
        <v/>
      </c>
      <c r="E53" s="72">
        <f>0</f>
        <v/>
      </c>
      <c r="F53" s="72">
        <f>MAX(0,C53-E53)</f>
        <v/>
      </c>
    </row>
    <row r="54">
      <c r="A54" s="34" t="n">
        <v>23</v>
      </c>
      <c r="B54" s="13" t="n">
        <v>46569</v>
      </c>
      <c r="C54" s="72">
        <f>F53</f>
        <v/>
      </c>
      <c r="D54" s="72">
        <f>MAX(0,C54*$B$25/12)</f>
        <v/>
      </c>
      <c r="E54" s="72">
        <f>0</f>
        <v/>
      </c>
      <c r="F54" s="72">
        <f>MAX(0,C54-E54)</f>
        <v/>
      </c>
    </row>
    <row r="55">
      <c r="A55" s="34" t="n">
        <v>24</v>
      </c>
      <c r="B55" s="13" t="n">
        <v>46600</v>
      </c>
      <c r="C55" s="72">
        <f>F54</f>
        <v/>
      </c>
      <c r="D55" s="72">
        <f>MAX(0,C55*$B$25/12)</f>
        <v/>
      </c>
      <c r="E55" s="72">
        <f>0</f>
        <v/>
      </c>
      <c r="F55" s="72">
        <f>MAX(0,C55-E55)</f>
        <v/>
      </c>
    </row>
    <row r="56">
      <c r="A56" s="34" t="n">
        <v>25</v>
      </c>
      <c r="B56" s="13" t="n">
        <v>46631</v>
      </c>
      <c r="C56" s="72">
        <f>F55</f>
        <v/>
      </c>
      <c r="D56" s="72">
        <f>MAX(0,C56*$B$25/12)</f>
        <v/>
      </c>
      <c r="E56" s="72">
        <f>0</f>
        <v/>
      </c>
      <c r="F56" s="72">
        <f>MAX(0,C56-E56)</f>
        <v/>
      </c>
    </row>
    <row r="57">
      <c r="A57" s="34" t="n">
        <v>26</v>
      </c>
      <c r="B57" s="13" t="n">
        <v>46661</v>
      </c>
      <c r="C57" s="72">
        <f>F56</f>
        <v/>
      </c>
      <c r="D57" s="72">
        <f>MAX(0,C57*$B$25/12)</f>
        <v/>
      </c>
      <c r="E57" s="72">
        <f>0</f>
        <v/>
      </c>
      <c r="F57" s="72">
        <f>MAX(0,C57-E57)</f>
        <v/>
      </c>
    </row>
    <row r="58">
      <c r="A58" s="34" t="n">
        <v>27</v>
      </c>
      <c r="B58" s="13" t="n">
        <v>46692</v>
      </c>
      <c r="C58" s="72">
        <f>F57</f>
        <v/>
      </c>
      <c r="D58" s="72">
        <f>MAX(0,C58*$B$25/12)</f>
        <v/>
      </c>
      <c r="E58" s="72">
        <f>0</f>
        <v/>
      </c>
      <c r="F58" s="72">
        <f>MAX(0,C58-E58)</f>
        <v/>
      </c>
    </row>
    <row r="59">
      <c r="A59" s="34" t="n">
        <v>28</v>
      </c>
      <c r="B59" s="13" t="n">
        <v>46722</v>
      </c>
      <c r="C59" s="72">
        <f>F58</f>
        <v/>
      </c>
      <c r="D59" s="72">
        <f>MAX(0,C59*$B$25/12)</f>
        <v/>
      </c>
      <c r="E59" s="72">
        <f>0</f>
        <v/>
      </c>
      <c r="F59" s="72">
        <f>MAX(0,C59-E59)</f>
        <v/>
      </c>
    </row>
    <row r="60">
      <c r="A60" s="34" t="n">
        <v>29</v>
      </c>
      <c r="B60" s="13" t="n">
        <v>46753</v>
      </c>
      <c r="C60" s="72">
        <f>F59</f>
        <v/>
      </c>
      <c r="D60" s="72">
        <f>MAX(0,C60*$B$25/12)</f>
        <v/>
      </c>
      <c r="E60" s="72">
        <f>0</f>
        <v/>
      </c>
      <c r="F60" s="72">
        <f>MAX(0,C60-E60)</f>
        <v/>
      </c>
    </row>
    <row r="61">
      <c r="A61" s="34" t="n">
        <v>30</v>
      </c>
      <c r="B61" s="13" t="n">
        <v>46784</v>
      </c>
      <c r="C61" s="72">
        <f>F60</f>
        <v/>
      </c>
      <c r="D61" s="72">
        <f>MAX(0,C61*$B$25/12)</f>
        <v/>
      </c>
      <c r="E61" s="72">
        <f>0</f>
        <v/>
      </c>
      <c r="F61" s="72">
        <f>MAX(0,C61-E61)</f>
        <v/>
      </c>
    </row>
    <row r="62">
      <c r="A62" s="34" t="n">
        <v>31</v>
      </c>
      <c r="B62" s="13" t="n">
        <v>46813</v>
      </c>
      <c r="C62" s="72">
        <f>F61</f>
        <v/>
      </c>
      <c r="D62" s="72">
        <f>MAX(0,C62*$B$25/12)</f>
        <v/>
      </c>
      <c r="E62" s="72">
        <f>0</f>
        <v/>
      </c>
      <c r="F62" s="72">
        <f>MAX(0,C62-E62)</f>
        <v/>
      </c>
    </row>
    <row r="63">
      <c r="A63" s="34" t="n">
        <v>32</v>
      </c>
      <c r="B63" s="13" t="n">
        <v>46844</v>
      </c>
      <c r="C63" s="72">
        <f>F62</f>
        <v/>
      </c>
      <c r="D63" s="72">
        <f>MAX(0,C63*$B$25/12)</f>
        <v/>
      </c>
      <c r="E63" s="72">
        <f>0</f>
        <v/>
      </c>
      <c r="F63" s="72">
        <f>MAX(0,C63-E63)</f>
        <v/>
      </c>
    </row>
    <row r="64">
      <c r="A64" s="34" t="n">
        <v>33</v>
      </c>
      <c r="B64" s="13" t="n">
        <v>46874</v>
      </c>
      <c r="C64" s="72">
        <f>F63</f>
        <v/>
      </c>
      <c r="D64" s="72">
        <f>MAX(0,C64*$B$25/12)</f>
        <v/>
      </c>
      <c r="E64" s="72">
        <f>0</f>
        <v/>
      </c>
      <c r="F64" s="72">
        <f>MAX(0,C64-E64)</f>
        <v/>
      </c>
    </row>
    <row r="65">
      <c r="A65" s="34" t="n">
        <v>34</v>
      </c>
      <c r="B65" s="13" t="n">
        <v>46905</v>
      </c>
      <c r="C65" s="72">
        <f>F64</f>
        <v/>
      </c>
      <c r="D65" s="72">
        <f>MAX(0,C65*$B$25/12)</f>
        <v/>
      </c>
      <c r="E65" s="72">
        <f>0</f>
        <v/>
      </c>
      <c r="F65" s="72">
        <f>MAX(0,C65-E65)</f>
        <v/>
      </c>
    </row>
    <row r="66">
      <c r="A66" s="34" t="n">
        <v>35</v>
      </c>
      <c r="B66" s="13" t="n">
        <v>46935</v>
      </c>
      <c r="C66" s="72">
        <f>F65</f>
        <v/>
      </c>
      <c r="D66" s="72">
        <f>MAX(0,C66*$B$25/12)</f>
        <v/>
      </c>
      <c r="E66" s="72">
        <f>0</f>
        <v/>
      </c>
      <c r="F66" s="72">
        <f>MAX(0,C66-E66)</f>
        <v/>
      </c>
    </row>
    <row r="67">
      <c r="A67" s="34" t="n">
        <v>36</v>
      </c>
      <c r="B67" s="13" t="n">
        <v>46966</v>
      </c>
      <c r="C67" s="72">
        <f>F66</f>
        <v/>
      </c>
      <c r="D67" s="72">
        <f>MAX(0,C67*$B$25/12)</f>
        <v/>
      </c>
      <c r="E67" s="72">
        <f>0</f>
        <v/>
      </c>
      <c r="F67" s="72">
        <f>MAX(0,C67-E67)</f>
        <v/>
      </c>
    </row>
    <row r="68">
      <c r="A68" s="34" t="n">
        <v>37</v>
      </c>
      <c r="B68" s="13" t="n">
        <v>46997</v>
      </c>
      <c r="C68" s="72">
        <f>F67</f>
        <v/>
      </c>
      <c r="D68" s="72">
        <f>MAX(0,C68*$B$25/12)</f>
        <v/>
      </c>
      <c r="E68" s="72">
        <f>0</f>
        <v/>
      </c>
      <c r="F68" s="72">
        <f>MAX(0,C68-E68)</f>
        <v/>
      </c>
    </row>
    <row r="69">
      <c r="A69" s="34" t="n">
        <v>38</v>
      </c>
      <c r="B69" s="13" t="n">
        <v>47027</v>
      </c>
      <c r="C69" s="72">
        <f>F68</f>
        <v/>
      </c>
      <c r="D69" s="72">
        <f>MAX(0,C69*$B$25/12)</f>
        <v/>
      </c>
      <c r="E69" s="72">
        <f>0</f>
        <v/>
      </c>
      <c r="F69" s="72">
        <f>MAX(0,C69-E69)</f>
        <v/>
      </c>
    </row>
    <row r="70">
      <c r="A70" s="34" t="n">
        <v>39</v>
      </c>
      <c r="B70" s="13" t="n">
        <v>47058</v>
      </c>
      <c r="C70" s="72">
        <f>F69</f>
        <v/>
      </c>
      <c r="D70" s="72">
        <f>MAX(0,C70*$B$25/12)</f>
        <v/>
      </c>
      <c r="E70" s="72">
        <f>0</f>
        <v/>
      </c>
      <c r="F70" s="72">
        <f>MAX(0,C70-E70)</f>
        <v/>
      </c>
    </row>
    <row r="71">
      <c r="A71" s="34" t="n">
        <v>40</v>
      </c>
      <c r="B71" s="13" t="n">
        <v>47088</v>
      </c>
      <c r="C71" s="72">
        <f>F70</f>
        <v/>
      </c>
      <c r="D71" s="72">
        <f>MAX(0,C71*$B$25/12)</f>
        <v/>
      </c>
      <c r="E71" s="72">
        <f>0</f>
        <v/>
      </c>
      <c r="F71" s="72">
        <f>MAX(0,C71-E71)</f>
        <v/>
      </c>
    </row>
    <row r="72">
      <c r="A72" s="34" t="n">
        <v>41</v>
      </c>
      <c r="B72" s="13" t="n">
        <v>47119</v>
      </c>
      <c r="C72" s="72">
        <f>F71</f>
        <v/>
      </c>
      <c r="D72" s="72">
        <f>MAX(0,C72*$B$25/12)</f>
        <v/>
      </c>
      <c r="E72" s="72">
        <f>0</f>
        <v/>
      </c>
      <c r="F72" s="72">
        <f>MAX(0,C72-E72)</f>
        <v/>
      </c>
    </row>
    <row r="73">
      <c r="A73" s="34" t="n">
        <v>42</v>
      </c>
      <c r="B73" s="13" t="n">
        <v>47150</v>
      </c>
      <c r="C73" s="72">
        <f>F72</f>
        <v/>
      </c>
      <c r="D73" s="72">
        <f>MAX(0,C73*$B$25/12)</f>
        <v/>
      </c>
      <c r="E73" s="72">
        <f>0</f>
        <v/>
      </c>
      <c r="F73" s="72">
        <f>MAX(0,C73-E73)</f>
        <v/>
      </c>
    </row>
    <row r="74">
      <c r="A74" s="34" t="n">
        <v>43</v>
      </c>
      <c r="B74" s="13" t="n">
        <v>47178</v>
      </c>
      <c r="C74" s="72">
        <f>F73</f>
        <v/>
      </c>
      <c r="D74" s="72">
        <f>MAX(0,C74*$B$25/12)</f>
        <v/>
      </c>
      <c r="E74" s="72">
        <f>0</f>
        <v/>
      </c>
      <c r="F74" s="72">
        <f>MAX(0,C74-E74)</f>
        <v/>
      </c>
    </row>
    <row r="75">
      <c r="A75" s="34" t="n">
        <v>44</v>
      </c>
      <c r="B75" s="13" t="n">
        <v>47209</v>
      </c>
      <c r="C75" s="72">
        <f>F74</f>
        <v/>
      </c>
      <c r="D75" s="72">
        <f>MAX(0,C75*$B$25/12)</f>
        <v/>
      </c>
      <c r="E75" s="72">
        <f>0</f>
        <v/>
      </c>
      <c r="F75" s="72">
        <f>MAX(0,C75-E75)</f>
        <v/>
      </c>
    </row>
    <row r="76">
      <c r="A76" s="34" t="n">
        <v>45</v>
      </c>
      <c r="B76" s="13" t="n">
        <v>47239</v>
      </c>
      <c r="C76" s="72">
        <f>F75</f>
        <v/>
      </c>
      <c r="D76" s="72">
        <f>MAX(0,C76*$B$25/12)</f>
        <v/>
      </c>
      <c r="E76" s="72">
        <f>0</f>
        <v/>
      </c>
      <c r="F76" s="72">
        <f>MAX(0,C76-E76)</f>
        <v/>
      </c>
    </row>
    <row r="77">
      <c r="A77" s="34" t="n">
        <v>46</v>
      </c>
      <c r="B77" s="13" t="n">
        <v>47270</v>
      </c>
      <c r="C77" s="72">
        <f>F76</f>
        <v/>
      </c>
      <c r="D77" s="72">
        <f>MAX(0,C77*$B$25/12)</f>
        <v/>
      </c>
      <c r="E77" s="72">
        <f>0</f>
        <v/>
      </c>
      <c r="F77" s="72">
        <f>MAX(0,C77-E77)</f>
        <v/>
      </c>
    </row>
    <row r="78">
      <c r="A78" s="34" t="n">
        <v>47</v>
      </c>
      <c r="B78" s="13" t="n">
        <v>47300</v>
      </c>
      <c r="C78" s="72">
        <f>F77</f>
        <v/>
      </c>
      <c r="D78" s="72">
        <f>MAX(0,C78*$B$25/12)</f>
        <v/>
      </c>
      <c r="E78" s="72">
        <f>0</f>
        <v/>
      </c>
      <c r="F78" s="72">
        <f>MAX(0,C78-E78)</f>
        <v/>
      </c>
    </row>
    <row r="79">
      <c r="A79" s="34" t="n">
        <v>48</v>
      </c>
      <c r="B79" s="13" t="n">
        <v>47331</v>
      </c>
      <c r="C79" s="72">
        <f>F78</f>
        <v/>
      </c>
      <c r="D79" s="72">
        <f>MAX(0,C79*$B$25/12)</f>
        <v/>
      </c>
      <c r="E79" s="72">
        <f>0</f>
        <v/>
      </c>
      <c r="F79" s="72">
        <f>MAX(0,C79-E79)</f>
        <v/>
      </c>
    </row>
    <row r="80">
      <c r="A80" s="34" t="n">
        <v>49</v>
      </c>
      <c r="B80" s="13" t="n">
        <v>47362</v>
      </c>
      <c r="C80" s="72">
        <f>F79</f>
        <v/>
      </c>
      <c r="D80" s="72">
        <f>MAX(0,C80*$B$25/12)</f>
        <v/>
      </c>
      <c r="E80" s="72">
        <f>0</f>
        <v/>
      </c>
      <c r="F80" s="72">
        <f>MAX(0,C80-E80)</f>
        <v/>
      </c>
    </row>
    <row r="81">
      <c r="A81" s="34" t="n">
        <v>50</v>
      </c>
      <c r="B81" s="13" t="n">
        <v>47392</v>
      </c>
      <c r="C81" s="72">
        <f>F80</f>
        <v/>
      </c>
      <c r="D81" s="72">
        <f>MAX(0,C81*$B$25/12)</f>
        <v/>
      </c>
      <c r="E81" s="72">
        <f>0</f>
        <v/>
      </c>
      <c r="F81" s="72">
        <f>MAX(0,C81-E81)</f>
        <v/>
      </c>
    </row>
    <row r="82">
      <c r="A82" s="34" t="n">
        <v>51</v>
      </c>
      <c r="B82" s="13" t="n">
        <v>47423</v>
      </c>
      <c r="C82" s="72">
        <f>F81</f>
        <v/>
      </c>
      <c r="D82" s="72">
        <f>MAX(0,C82*$B$25/12)</f>
        <v/>
      </c>
      <c r="E82" s="72">
        <f>0</f>
        <v/>
      </c>
      <c r="F82" s="72">
        <f>MAX(0,C82-E82)</f>
        <v/>
      </c>
    </row>
    <row r="83">
      <c r="A83" s="34" t="n">
        <v>52</v>
      </c>
      <c r="B83" s="13" t="n">
        <v>47453</v>
      </c>
      <c r="C83" s="72">
        <f>F82</f>
        <v/>
      </c>
      <c r="D83" s="72">
        <f>MAX(0,C83*$B$25/12)</f>
        <v/>
      </c>
      <c r="E83" s="72">
        <f>0</f>
        <v/>
      </c>
      <c r="F83" s="72">
        <f>MAX(0,C83-E83)</f>
        <v/>
      </c>
    </row>
    <row r="84">
      <c r="A84" s="34" t="n">
        <v>53</v>
      </c>
      <c r="B84" s="13" t="n">
        <v>47484</v>
      </c>
      <c r="C84" s="72">
        <f>F83</f>
        <v/>
      </c>
      <c r="D84" s="72">
        <f>MAX(0,C84*$B$25/12)</f>
        <v/>
      </c>
      <c r="E84" s="72">
        <f>0</f>
        <v/>
      </c>
      <c r="F84" s="72">
        <f>MAX(0,C84-E84)</f>
        <v/>
      </c>
    </row>
    <row r="85">
      <c r="A85" s="34" t="n">
        <v>54</v>
      </c>
      <c r="B85" s="13" t="n">
        <v>47515</v>
      </c>
      <c r="C85" s="72">
        <f>F84</f>
        <v/>
      </c>
      <c r="D85" s="72">
        <f>MAX(0,C85*$B$25/12)</f>
        <v/>
      </c>
      <c r="E85" s="72">
        <f>0</f>
        <v/>
      </c>
      <c r="F85" s="72">
        <f>MAX(0,C85-E85)</f>
        <v/>
      </c>
    </row>
    <row r="86">
      <c r="A86" s="34" t="n">
        <v>55</v>
      </c>
      <c r="B86" s="13" t="n">
        <v>47543</v>
      </c>
      <c r="C86" s="72">
        <f>F85</f>
        <v/>
      </c>
      <c r="D86" s="72">
        <f>MAX(0,C86*$B$25/12)</f>
        <v/>
      </c>
      <c r="E86" s="72">
        <f>0</f>
        <v/>
      </c>
      <c r="F86" s="72">
        <f>MAX(0,C86-E86)</f>
        <v/>
      </c>
    </row>
    <row r="87">
      <c r="A87" s="34" t="n">
        <v>56</v>
      </c>
      <c r="B87" s="13" t="n">
        <v>47574</v>
      </c>
      <c r="C87" s="72">
        <f>F86</f>
        <v/>
      </c>
      <c r="D87" s="72">
        <f>MAX(0,C87*$B$25/12)</f>
        <v/>
      </c>
      <c r="E87" s="72">
        <f>0</f>
        <v/>
      </c>
      <c r="F87" s="72">
        <f>MAX(0,C87-E87)</f>
        <v/>
      </c>
    </row>
    <row r="88">
      <c r="A88" s="34" t="n">
        <v>57</v>
      </c>
      <c r="B88" s="13" t="n">
        <v>47604</v>
      </c>
      <c r="C88" s="72">
        <f>F87</f>
        <v/>
      </c>
      <c r="D88" s="72">
        <f>MAX(0,C88*$B$25/12)</f>
        <v/>
      </c>
      <c r="E88" s="72">
        <f>0</f>
        <v/>
      </c>
      <c r="F88" s="72">
        <f>MAX(0,C88-E88)</f>
        <v/>
      </c>
    </row>
    <row r="89">
      <c r="A89" s="34" t="n">
        <v>58</v>
      </c>
      <c r="B89" s="13" t="n">
        <v>47635</v>
      </c>
      <c r="C89" s="72">
        <f>F88</f>
        <v/>
      </c>
      <c r="D89" s="72">
        <f>MAX(0,C89*$B$25/12)</f>
        <v/>
      </c>
      <c r="E89" s="72">
        <f>0</f>
        <v/>
      </c>
      <c r="F89" s="72">
        <f>MAX(0,C89-E89)</f>
        <v/>
      </c>
    </row>
    <row r="90">
      <c r="A90" s="34" t="n">
        <v>59</v>
      </c>
      <c r="B90" s="13" t="n">
        <v>47665</v>
      </c>
      <c r="C90" s="72">
        <f>F89</f>
        <v/>
      </c>
      <c r="D90" s="72">
        <f>MAX(0,C90*$B$25/12)</f>
        <v/>
      </c>
      <c r="E90" s="72">
        <f>0</f>
        <v/>
      </c>
      <c r="F90" s="72">
        <f>MAX(0,C90-E90)</f>
        <v/>
      </c>
    </row>
    <row r="91">
      <c r="A91" s="34" t="n">
        <v>60</v>
      </c>
      <c r="B91" s="13" t="n">
        <v>47696</v>
      </c>
      <c r="C91" s="72">
        <f>F90</f>
        <v/>
      </c>
      <c r="D91" s="72">
        <f>MAX(0,C91*$B$25/12)</f>
        <v/>
      </c>
      <c r="E91" s="72">
        <f>0</f>
        <v/>
      </c>
      <c r="F91" s="72">
        <f>MAX(0,C91-E91)</f>
        <v/>
      </c>
    </row>
    <row r="94">
      <c r="A94" s="39" t="inlineStr">
        <is>
          <t>LOAN 2: Harrison Property - Monthly Interest Schedule</t>
        </is>
      </c>
    </row>
    <row r="95">
      <c r="A95" s="41" t="inlineStr">
        <is>
          <t>Loan ID</t>
        </is>
      </c>
      <c r="B95" s="67" t="inlineStr">
        <is>
          <t>10-2927-000-000-00</t>
        </is>
      </c>
    </row>
    <row r="96">
      <c r="A96" s="41" t="inlineStr">
        <is>
          <t>Property</t>
        </is>
      </c>
      <c r="B96" s="67" t="inlineStr">
        <is>
          <t>Harrison</t>
        </is>
      </c>
    </row>
    <row r="97">
      <c r="A97" s="41" t="inlineStr">
        <is>
          <t>Opening Balance</t>
        </is>
      </c>
      <c r="B97" s="35" t="n">
        <v>8840000</v>
      </c>
    </row>
    <row r="98">
      <c r="A98" s="41" t="inlineStr">
        <is>
          <t>Annual Rate</t>
        </is>
      </c>
      <c r="B98" s="36" t="n">
        <v>0.09</v>
      </c>
    </row>
    <row r="99">
      <c r="A99" s="41" t="inlineStr">
        <is>
          <t>Monthly Payment</t>
        </is>
      </c>
      <c r="B99" s="35" t="n">
        <v>66300</v>
      </c>
    </row>
    <row r="100">
      <c r="A100" s="41" t="inlineStr">
        <is>
          <t>Origination Date</t>
        </is>
      </c>
      <c r="B100" s="113" t="n">
        <v>45898</v>
      </c>
    </row>
    <row r="101">
      <c r="A101" s="41" t="inlineStr">
        <is>
          <t>Maturity Date</t>
        </is>
      </c>
      <c r="B101" s="113" t="n">
        <v>53203</v>
      </c>
    </row>
    <row r="102">
      <c r="A102" s="41" t="inlineStr">
        <is>
          <t>Loan Type</t>
        </is>
      </c>
      <c r="B102" s="67" t="inlineStr">
        <is>
          <t>INTEREST_ONLY_BALLOON</t>
        </is>
      </c>
    </row>
    <row r="104">
      <c r="A104" s="62" t="inlineStr">
        <is>
          <t>Month #</t>
        </is>
      </c>
      <c r="B104" s="62" t="inlineStr">
        <is>
          <t>Date</t>
        </is>
      </c>
      <c r="C104" s="62" t="inlineStr">
        <is>
          <t>Opening Balance</t>
        </is>
      </c>
      <c r="D104" s="62" t="inlineStr">
        <is>
          <t>Interest</t>
        </is>
      </c>
      <c r="E104" s="62" t="inlineStr">
        <is>
          <t>Principal</t>
        </is>
      </c>
      <c r="F104" s="62" t="inlineStr">
        <is>
          <t>Closing Balance</t>
        </is>
      </c>
    </row>
    <row r="105">
      <c r="A105" s="34" t="n">
        <v>1</v>
      </c>
      <c r="B105" s="13" t="n">
        <v>45901</v>
      </c>
      <c r="C105" s="72">
        <f>$B$97</f>
        <v/>
      </c>
      <c r="D105" s="72">
        <f>MAX(0,C105*$B$98/12)</f>
        <v/>
      </c>
      <c r="E105" s="72">
        <f>0</f>
        <v/>
      </c>
      <c r="F105" s="72">
        <f>MAX(0,C105-E105)</f>
        <v/>
      </c>
    </row>
    <row r="106">
      <c r="A106" s="34" t="n">
        <v>2</v>
      </c>
      <c r="B106" s="13" t="n">
        <v>45931</v>
      </c>
      <c r="C106" s="72">
        <f>F105</f>
        <v/>
      </c>
      <c r="D106" s="72">
        <f>MAX(0,C106*$B$98/12)</f>
        <v/>
      </c>
      <c r="E106" s="72">
        <f>0</f>
        <v/>
      </c>
      <c r="F106" s="72">
        <f>MAX(0,C106-E106)</f>
        <v/>
      </c>
    </row>
    <row r="107">
      <c r="A107" s="34" t="n">
        <v>3</v>
      </c>
      <c r="B107" s="13" t="n">
        <v>45962</v>
      </c>
      <c r="C107" s="72">
        <f>F106</f>
        <v/>
      </c>
      <c r="D107" s="72">
        <f>MAX(0,C107*$B$98/12)</f>
        <v/>
      </c>
      <c r="E107" s="72">
        <f>0</f>
        <v/>
      </c>
      <c r="F107" s="72">
        <f>MAX(0,C107-E107)</f>
        <v/>
      </c>
    </row>
    <row r="108">
      <c r="A108" s="34" t="n">
        <v>4</v>
      </c>
      <c r="B108" s="13" t="n">
        <v>45992</v>
      </c>
      <c r="C108" s="72">
        <f>F107</f>
        <v/>
      </c>
      <c r="D108" s="72">
        <f>MAX(0,C108*$B$98/12)</f>
        <v/>
      </c>
      <c r="E108" s="72">
        <f>0</f>
        <v/>
      </c>
      <c r="F108" s="72">
        <f>MAX(0,C108-E108)</f>
        <v/>
      </c>
    </row>
    <row r="109">
      <c r="A109" s="34" t="n">
        <v>5</v>
      </c>
      <c r="B109" s="13" t="n">
        <v>46023</v>
      </c>
      <c r="C109" s="72">
        <f>F108</f>
        <v/>
      </c>
      <c r="D109" s="72">
        <f>MAX(0,C109*$B$98/12)</f>
        <v/>
      </c>
      <c r="E109" s="72">
        <f>0</f>
        <v/>
      </c>
      <c r="F109" s="72">
        <f>MAX(0,C109-E109)</f>
        <v/>
      </c>
    </row>
    <row r="110">
      <c r="A110" s="34" t="n">
        <v>6</v>
      </c>
      <c r="B110" s="13" t="n">
        <v>46054</v>
      </c>
      <c r="C110" s="72">
        <f>F109</f>
        <v/>
      </c>
      <c r="D110" s="72">
        <f>MAX(0,C110*$B$98/12)</f>
        <v/>
      </c>
      <c r="E110" s="72">
        <f>0</f>
        <v/>
      </c>
      <c r="F110" s="72">
        <f>MAX(0,C110-E110)</f>
        <v/>
      </c>
    </row>
    <row r="111">
      <c r="A111" s="34" t="n">
        <v>7</v>
      </c>
      <c r="B111" s="13" t="n">
        <v>46082</v>
      </c>
      <c r="C111" s="72">
        <f>F110</f>
        <v/>
      </c>
      <c r="D111" s="72">
        <f>MAX(0,C111*$B$98/12)</f>
        <v/>
      </c>
      <c r="E111" s="72">
        <f>0</f>
        <v/>
      </c>
      <c r="F111" s="72">
        <f>MAX(0,C111-E111)</f>
        <v/>
      </c>
    </row>
    <row r="112">
      <c r="A112" s="34" t="n">
        <v>8</v>
      </c>
      <c r="B112" s="13" t="n">
        <v>46113</v>
      </c>
      <c r="C112" s="72">
        <f>F111</f>
        <v/>
      </c>
      <c r="D112" s="72">
        <f>MAX(0,C112*$B$98/12)</f>
        <v/>
      </c>
      <c r="E112" s="72">
        <f>0</f>
        <v/>
      </c>
      <c r="F112" s="72">
        <f>MAX(0,C112-E112)</f>
        <v/>
      </c>
    </row>
    <row r="113">
      <c r="A113" s="34" t="n">
        <v>9</v>
      </c>
      <c r="B113" s="13" t="n">
        <v>46143</v>
      </c>
      <c r="C113" s="72">
        <f>F112</f>
        <v/>
      </c>
      <c r="D113" s="72">
        <f>MAX(0,C113*$B$98/12)</f>
        <v/>
      </c>
      <c r="E113" s="72">
        <f>0</f>
        <v/>
      </c>
      <c r="F113" s="72">
        <f>MAX(0,C113-E113)</f>
        <v/>
      </c>
    </row>
    <row r="114">
      <c r="A114" s="34" t="n">
        <v>10</v>
      </c>
      <c r="B114" s="13" t="n">
        <v>46174</v>
      </c>
      <c r="C114" s="72">
        <f>F113</f>
        <v/>
      </c>
      <c r="D114" s="72">
        <f>MAX(0,C114*$B$98/12)</f>
        <v/>
      </c>
      <c r="E114" s="72">
        <f>0</f>
        <v/>
      </c>
      <c r="F114" s="72">
        <f>MAX(0,C114-E114)</f>
        <v/>
      </c>
    </row>
    <row r="115">
      <c r="A115" s="34" t="n">
        <v>11</v>
      </c>
      <c r="B115" s="13" t="n">
        <v>46204</v>
      </c>
      <c r="C115" s="72">
        <f>F114</f>
        <v/>
      </c>
      <c r="D115" s="72">
        <f>MAX(0,C115*$B$98/12)</f>
        <v/>
      </c>
      <c r="E115" s="72">
        <f>0</f>
        <v/>
      </c>
      <c r="F115" s="72">
        <f>MAX(0,C115-E115)</f>
        <v/>
      </c>
    </row>
    <row r="116">
      <c r="A116" s="34" t="n">
        <v>12</v>
      </c>
      <c r="B116" s="13" t="n">
        <v>46235</v>
      </c>
      <c r="C116" s="72">
        <f>F115</f>
        <v/>
      </c>
      <c r="D116" s="72">
        <f>MAX(0,C116*$B$98/12)</f>
        <v/>
      </c>
      <c r="E116" s="72">
        <f>0</f>
        <v/>
      </c>
      <c r="F116" s="72">
        <f>MAX(0,C116-E116)</f>
        <v/>
      </c>
    </row>
    <row r="117">
      <c r="A117" s="34" t="n">
        <v>13</v>
      </c>
      <c r="B117" s="13" t="n">
        <v>46266</v>
      </c>
      <c r="C117" s="72">
        <f>F116</f>
        <v/>
      </c>
      <c r="D117" s="72">
        <f>MAX(0,C117*$B$98/12)</f>
        <v/>
      </c>
      <c r="E117" s="72">
        <f>0</f>
        <v/>
      </c>
      <c r="F117" s="72">
        <f>MAX(0,C117-E117)</f>
        <v/>
      </c>
    </row>
    <row r="118">
      <c r="A118" s="34" t="n">
        <v>14</v>
      </c>
      <c r="B118" s="13" t="n">
        <v>46296</v>
      </c>
      <c r="C118" s="72">
        <f>F117</f>
        <v/>
      </c>
      <c r="D118" s="72">
        <f>MAX(0,C118*$B$98/12)</f>
        <v/>
      </c>
      <c r="E118" s="72">
        <f>0</f>
        <v/>
      </c>
      <c r="F118" s="72">
        <f>MAX(0,C118-E118)</f>
        <v/>
      </c>
    </row>
    <row r="119">
      <c r="A119" s="34" t="n">
        <v>15</v>
      </c>
      <c r="B119" s="13" t="n">
        <v>46327</v>
      </c>
      <c r="C119" s="72">
        <f>F118</f>
        <v/>
      </c>
      <c r="D119" s="72">
        <f>MAX(0,C119*$B$98/12)</f>
        <v/>
      </c>
      <c r="E119" s="72">
        <f>0</f>
        <v/>
      </c>
      <c r="F119" s="72">
        <f>MAX(0,C119-E119)</f>
        <v/>
      </c>
    </row>
    <row r="120">
      <c r="A120" s="34" t="n">
        <v>16</v>
      </c>
      <c r="B120" s="13" t="n">
        <v>46357</v>
      </c>
      <c r="C120" s="72">
        <f>F119</f>
        <v/>
      </c>
      <c r="D120" s="72">
        <f>MAX(0,C120*$B$98/12)</f>
        <v/>
      </c>
      <c r="E120" s="72">
        <f>0</f>
        <v/>
      </c>
      <c r="F120" s="72">
        <f>MAX(0,C120-E120)</f>
        <v/>
      </c>
    </row>
    <row r="121">
      <c r="A121" s="34" t="n">
        <v>17</v>
      </c>
      <c r="B121" s="13" t="n">
        <v>46388</v>
      </c>
      <c r="C121" s="72">
        <f>F120</f>
        <v/>
      </c>
      <c r="D121" s="72">
        <f>MAX(0,C121*$B$98/12)</f>
        <v/>
      </c>
      <c r="E121" s="72">
        <f>0</f>
        <v/>
      </c>
      <c r="F121" s="72">
        <f>MAX(0,C121-E121)</f>
        <v/>
      </c>
    </row>
    <row r="122">
      <c r="A122" s="34" t="n">
        <v>18</v>
      </c>
      <c r="B122" s="13" t="n">
        <v>46419</v>
      </c>
      <c r="C122" s="72">
        <f>F121</f>
        <v/>
      </c>
      <c r="D122" s="72">
        <f>MAX(0,C122*$B$98/12)</f>
        <v/>
      </c>
      <c r="E122" s="72">
        <f>0</f>
        <v/>
      </c>
      <c r="F122" s="72">
        <f>MAX(0,C122-E122)</f>
        <v/>
      </c>
    </row>
    <row r="123">
      <c r="A123" s="34" t="n">
        <v>19</v>
      </c>
      <c r="B123" s="13" t="n">
        <v>46447</v>
      </c>
      <c r="C123" s="72">
        <f>F122</f>
        <v/>
      </c>
      <c r="D123" s="72">
        <f>MAX(0,C123*$B$98/12)</f>
        <v/>
      </c>
      <c r="E123" s="72">
        <f>0</f>
        <v/>
      </c>
      <c r="F123" s="72">
        <f>MAX(0,C123-E123)</f>
        <v/>
      </c>
    </row>
    <row r="124">
      <c r="A124" s="34" t="n">
        <v>20</v>
      </c>
      <c r="B124" s="13" t="n">
        <v>46478</v>
      </c>
      <c r="C124" s="72">
        <f>F123</f>
        <v/>
      </c>
      <c r="D124" s="72">
        <f>MAX(0,C124*$B$98/12)</f>
        <v/>
      </c>
      <c r="E124" s="72">
        <f>0</f>
        <v/>
      </c>
      <c r="F124" s="72">
        <f>MAX(0,C124-E124)</f>
        <v/>
      </c>
    </row>
    <row r="125">
      <c r="A125" s="34" t="n">
        <v>21</v>
      </c>
      <c r="B125" s="13" t="n">
        <v>46508</v>
      </c>
      <c r="C125" s="72">
        <f>F124</f>
        <v/>
      </c>
      <c r="D125" s="72">
        <f>MAX(0,C125*$B$98/12)</f>
        <v/>
      </c>
      <c r="E125" s="72">
        <f>0</f>
        <v/>
      </c>
      <c r="F125" s="72">
        <f>MAX(0,C125-E125)</f>
        <v/>
      </c>
    </row>
    <row r="126">
      <c r="A126" s="34" t="n">
        <v>22</v>
      </c>
      <c r="B126" s="13" t="n">
        <v>46539</v>
      </c>
      <c r="C126" s="72">
        <f>F125</f>
        <v/>
      </c>
      <c r="D126" s="72">
        <f>MAX(0,C126*$B$98/12)</f>
        <v/>
      </c>
      <c r="E126" s="72">
        <f>0</f>
        <v/>
      </c>
      <c r="F126" s="72">
        <f>MAX(0,C126-E126)</f>
        <v/>
      </c>
    </row>
    <row r="127">
      <c r="A127" s="34" t="n">
        <v>23</v>
      </c>
      <c r="B127" s="13" t="n">
        <v>46569</v>
      </c>
      <c r="C127" s="72">
        <f>F126</f>
        <v/>
      </c>
      <c r="D127" s="72">
        <f>MAX(0,C127*$B$98/12)</f>
        <v/>
      </c>
      <c r="E127" s="72">
        <f>0</f>
        <v/>
      </c>
      <c r="F127" s="72">
        <f>MAX(0,C127-E127)</f>
        <v/>
      </c>
    </row>
    <row r="128">
      <c r="A128" s="34" t="n">
        <v>24</v>
      </c>
      <c r="B128" s="13" t="n">
        <v>46600</v>
      </c>
      <c r="C128" s="72">
        <f>F127</f>
        <v/>
      </c>
      <c r="D128" s="72">
        <f>MAX(0,C128*$B$98/12)</f>
        <v/>
      </c>
      <c r="E128" s="72">
        <f>0</f>
        <v/>
      </c>
      <c r="F128" s="72">
        <f>MAX(0,C128-E128)</f>
        <v/>
      </c>
    </row>
    <row r="129">
      <c r="A129" s="34" t="n">
        <v>25</v>
      </c>
      <c r="B129" s="13" t="n">
        <v>46631</v>
      </c>
      <c r="C129" s="72">
        <f>F128</f>
        <v/>
      </c>
      <c r="D129" s="72">
        <f>MAX(0,C129*$B$98/12)</f>
        <v/>
      </c>
      <c r="E129" s="72">
        <f>0</f>
        <v/>
      </c>
      <c r="F129" s="72">
        <f>MAX(0,C129-E129)</f>
        <v/>
      </c>
    </row>
    <row r="130">
      <c r="A130" s="34" t="n">
        <v>26</v>
      </c>
      <c r="B130" s="13" t="n">
        <v>46661</v>
      </c>
      <c r="C130" s="72">
        <f>F129</f>
        <v/>
      </c>
      <c r="D130" s="72">
        <f>MAX(0,C130*$B$98/12)</f>
        <v/>
      </c>
      <c r="E130" s="72">
        <f>0</f>
        <v/>
      </c>
      <c r="F130" s="72">
        <f>MAX(0,C130-E130)</f>
        <v/>
      </c>
    </row>
    <row r="131">
      <c r="A131" s="34" t="n">
        <v>27</v>
      </c>
      <c r="B131" s="13" t="n">
        <v>46692</v>
      </c>
      <c r="C131" s="72">
        <f>F130</f>
        <v/>
      </c>
      <c r="D131" s="72">
        <f>MAX(0,C131*$B$98/12)</f>
        <v/>
      </c>
      <c r="E131" s="72">
        <f>0</f>
        <v/>
      </c>
      <c r="F131" s="72">
        <f>MAX(0,C131-E131)</f>
        <v/>
      </c>
    </row>
    <row r="132">
      <c r="A132" s="34" t="n">
        <v>28</v>
      </c>
      <c r="B132" s="13" t="n">
        <v>46722</v>
      </c>
      <c r="C132" s="72">
        <f>F131</f>
        <v/>
      </c>
      <c r="D132" s="72">
        <f>MAX(0,C132*$B$98/12)</f>
        <v/>
      </c>
      <c r="E132" s="72">
        <f>0</f>
        <v/>
      </c>
      <c r="F132" s="72">
        <f>MAX(0,C132-E132)</f>
        <v/>
      </c>
    </row>
    <row r="133">
      <c r="A133" s="34" t="n">
        <v>29</v>
      </c>
      <c r="B133" s="13" t="n">
        <v>46753</v>
      </c>
      <c r="C133" s="72">
        <f>F132</f>
        <v/>
      </c>
      <c r="D133" s="72">
        <f>MAX(0,C133*$B$98/12)</f>
        <v/>
      </c>
      <c r="E133" s="72">
        <f>0</f>
        <v/>
      </c>
      <c r="F133" s="72">
        <f>MAX(0,C133-E133)</f>
        <v/>
      </c>
    </row>
    <row r="134">
      <c r="A134" s="34" t="n">
        <v>30</v>
      </c>
      <c r="B134" s="13" t="n">
        <v>46784</v>
      </c>
      <c r="C134" s="72">
        <f>F133</f>
        <v/>
      </c>
      <c r="D134" s="72">
        <f>MAX(0,C134*$B$98/12)</f>
        <v/>
      </c>
      <c r="E134" s="72">
        <f>0</f>
        <v/>
      </c>
      <c r="F134" s="72">
        <f>MAX(0,C134-E134)</f>
        <v/>
      </c>
    </row>
    <row r="135">
      <c r="A135" s="34" t="n">
        <v>31</v>
      </c>
      <c r="B135" s="13" t="n">
        <v>46813</v>
      </c>
      <c r="C135" s="72">
        <f>F134</f>
        <v/>
      </c>
      <c r="D135" s="72">
        <f>MAX(0,C135*$B$98/12)</f>
        <v/>
      </c>
      <c r="E135" s="72">
        <f>0</f>
        <v/>
      </c>
      <c r="F135" s="72">
        <f>MAX(0,C135-E135)</f>
        <v/>
      </c>
    </row>
    <row r="136">
      <c r="A136" s="34" t="n">
        <v>32</v>
      </c>
      <c r="B136" s="13" t="n">
        <v>46844</v>
      </c>
      <c r="C136" s="72">
        <f>F135</f>
        <v/>
      </c>
      <c r="D136" s="72">
        <f>MAX(0,C136*$B$98/12)</f>
        <v/>
      </c>
      <c r="E136" s="72">
        <f>0</f>
        <v/>
      </c>
      <c r="F136" s="72">
        <f>MAX(0,C136-E136)</f>
        <v/>
      </c>
    </row>
    <row r="137">
      <c r="A137" s="34" t="n">
        <v>33</v>
      </c>
      <c r="B137" s="13" t="n">
        <v>46874</v>
      </c>
      <c r="C137" s="72">
        <f>F136</f>
        <v/>
      </c>
      <c r="D137" s="72">
        <f>MAX(0,C137*$B$98/12)</f>
        <v/>
      </c>
      <c r="E137" s="72">
        <f>0</f>
        <v/>
      </c>
      <c r="F137" s="72">
        <f>MAX(0,C137-E137)</f>
        <v/>
      </c>
    </row>
    <row r="138">
      <c r="A138" s="34" t="n">
        <v>34</v>
      </c>
      <c r="B138" s="13" t="n">
        <v>46905</v>
      </c>
      <c r="C138" s="72">
        <f>F137</f>
        <v/>
      </c>
      <c r="D138" s="72">
        <f>MAX(0,C138*$B$98/12)</f>
        <v/>
      </c>
      <c r="E138" s="72">
        <f>0</f>
        <v/>
      </c>
      <c r="F138" s="72">
        <f>MAX(0,C138-E138)</f>
        <v/>
      </c>
    </row>
    <row r="139">
      <c r="A139" s="34" t="n">
        <v>35</v>
      </c>
      <c r="B139" s="13" t="n">
        <v>46935</v>
      </c>
      <c r="C139" s="72">
        <f>F138</f>
        <v/>
      </c>
      <c r="D139" s="72">
        <f>MAX(0,C139*$B$98/12)</f>
        <v/>
      </c>
      <c r="E139" s="72">
        <f>0</f>
        <v/>
      </c>
      <c r="F139" s="72">
        <f>MAX(0,C139-E139)</f>
        <v/>
      </c>
    </row>
    <row r="140">
      <c r="A140" s="34" t="n">
        <v>36</v>
      </c>
      <c r="B140" s="13" t="n">
        <v>46966</v>
      </c>
      <c r="C140" s="72">
        <f>F139</f>
        <v/>
      </c>
      <c r="D140" s="72">
        <f>MAX(0,C140*$B$98/12)</f>
        <v/>
      </c>
      <c r="E140" s="72">
        <f>0</f>
        <v/>
      </c>
      <c r="F140" s="72">
        <f>MAX(0,C140-E140)</f>
        <v/>
      </c>
    </row>
    <row r="141">
      <c r="A141" s="34" t="n">
        <v>37</v>
      </c>
      <c r="B141" s="13" t="n">
        <v>46997</v>
      </c>
      <c r="C141" s="72">
        <f>F140</f>
        <v/>
      </c>
      <c r="D141" s="72">
        <f>MAX(0,C141*$B$98/12)</f>
        <v/>
      </c>
      <c r="E141" s="72">
        <f>0</f>
        <v/>
      </c>
      <c r="F141" s="72">
        <f>MAX(0,C141-E141)</f>
        <v/>
      </c>
    </row>
    <row r="142">
      <c r="A142" s="34" t="n">
        <v>38</v>
      </c>
      <c r="B142" s="13" t="n">
        <v>47027</v>
      </c>
      <c r="C142" s="72">
        <f>F141</f>
        <v/>
      </c>
      <c r="D142" s="72">
        <f>MAX(0,C142*$B$98/12)</f>
        <v/>
      </c>
      <c r="E142" s="72">
        <f>0</f>
        <v/>
      </c>
      <c r="F142" s="72">
        <f>MAX(0,C142-E142)</f>
        <v/>
      </c>
    </row>
    <row r="143">
      <c r="A143" s="34" t="n">
        <v>39</v>
      </c>
      <c r="B143" s="13" t="n">
        <v>47058</v>
      </c>
      <c r="C143" s="72">
        <f>F142</f>
        <v/>
      </c>
      <c r="D143" s="72">
        <f>MAX(0,C143*$B$98/12)</f>
        <v/>
      </c>
      <c r="E143" s="72">
        <f>0</f>
        <v/>
      </c>
      <c r="F143" s="72">
        <f>MAX(0,C143-E143)</f>
        <v/>
      </c>
    </row>
    <row r="144">
      <c r="A144" s="34" t="n">
        <v>40</v>
      </c>
      <c r="B144" s="13" t="n">
        <v>47088</v>
      </c>
      <c r="C144" s="72">
        <f>F143</f>
        <v/>
      </c>
      <c r="D144" s="72">
        <f>MAX(0,C144*$B$98/12)</f>
        <v/>
      </c>
      <c r="E144" s="72">
        <f>0</f>
        <v/>
      </c>
      <c r="F144" s="72">
        <f>MAX(0,C144-E144)</f>
        <v/>
      </c>
    </row>
    <row r="145">
      <c r="A145" s="34" t="n">
        <v>41</v>
      </c>
      <c r="B145" s="13" t="n">
        <v>47119</v>
      </c>
      <c r="C145" s="72">
        <f>F144</f>
        <v/>
      </c>
      <c r="D145" s="72">
        <f>MAX(0,C145*$B$98/12)</f>
        <v/>
      </c>
      <c r="E145" s="72">
        <f>0</f>
        <v/>
      </c>
      <c r="F145" s="72">
        <f>MAX(0,C145-E145)</f>
        <v/>
      </c>
    </row>
    <row r="146">
      <c r="A146" s="34" t="n">
        <v>42</v>
      </c>
      <c r="B146" s="13" t="n">
        <v>47150</v>
      </c>
      <c r="C146" s="72">
        <f>F145</f>
        <v/>
      </c>
      <c r="D146" s="72">
        <f>MAX(0,C146*$B$98/12)</f>
        <v/>
      </c>
      <c r="E146" s="72">
        <f>0</f>
        <v/>
      </c>
      <c r="F146" s="72">
        <f>MAX(0,C146-E146)</f>
        <v/>
      </c>
    </row>
    <row r="147">
      <c r="A147" s="34" t="n">
        <v>43</v>
      </c>
      <c r="B147" s="13" t="n">
        <v>47178</v>
      </c>
      <c r="C147" s="72">
        <f>F146</f>
        <v/>
      </c>
      <c r="D147" s="72">
        <f>MAX(0,C147*$B$98/12)</f>
        <v/>
      </c>
      <c r="E147" s="72">
        <f>0</f>
        <v/>
      </c>
      <c r="F147" s="72">
        <f>MAX(0,C147-E147)</f>
        <v/>
      </c>
    </row>
    <row r="148">
      <c r="A148" s="34" t="n">
        <v>44</v>
      </c>
      <c r="B148" s="13" t="n">
        <v>47209</v>
      </c>
      <c r="C148" s="72">
        <f>F147</f>
        <v/>
      </c>
      <c r="D148" s="72">
        <f>MAX(0,C148*$B$98/12)</f>
        <v/>
      </c>
      <c r="E148" s="72">
        <f>0</f>
        <v/>
      </c>
      <c r="F148" s="72">
        <f>MAX(0,C148-E148)</f>
        <v/>
      </c>
    </row>
    <row r="149">
      <c r="A149" s="34" t="n">
        <v>45</v>
      </c>
      <c r="B149" s="13" t="n">
        <v>47239</v>
      </c>
      <c r="C149" s="72">
        <f>F148</f>
        <v/>
      </c>
      <c r="D149" s="72">
        <f>MAX(0,C149*$B$98/12)</f>
        <v/>
      </c>
      <c r="E149" s="72">
        <f>0</f>
        <v/>
      </c>
      <c r="F149" s="72">
        <f>MAX(0,C149-E149)</f>
        <v/>
      </c>
    </row>
    <row r="150">
      <c r="A150" s="34" t="n">
        <v>46</v>
      </c>
      <c r="B150" s="13" t="n">
        <v>47270</v>
      </c>
      <c r="C150" s="72">
        <f>F149</f>
        <v/>
      </c>
      <c r="D150" s="72">
        <f>MAX(0,C150*$B$98/12)</f>
        <v/>
      </c>
      <c r="E150" s="72">
        <f>0</f>
        <v/>
      </c>
      <c r="F150" s="72">
        <f>MAX(0,C150-E150)</f>
        <v/>
      </c>
    </row>
    <row r="151">
      <c r="A151" s="34" t="n">
        <v>47</v>
      </c>
      <c r="B151" s="13" t="n">
        <v>47300</v>
      </c>
      <c r="C151" s="72">
        <f>F150</f>
        <v/>
      </c>
      <c r="D151" s="72">
        <f>MAX(0,C151*$B$98/12)</f>
        <v/>
      </c>
      <c r="E151" s="72">
        <f>0</f>
        <v/>
      </c>
      <c r="F151" s="72">
        <f>MAX(0,C151-E151)</f>
        <v/>
      </c>
    </row>
    <row r="152">
      <c r="A152" s="34" t="n">
        <v>48</v>
      </c>
      <c r="B152" s="13" t="n">
        <v>47331</v>
      </c>
      <c r="C152" s="72">
        <f>F151</f>
        <v/>
      </c>
      <c r="D152" s="72">
        <f>MAX(0,C152*$B$98/12)</f>
        <v/>
      </c>
      <c r="E152" s="72">
        <f>0</f>
        <v/>
      </c>
      <c r="F152" s="72">
        <f>MAX(0,C152-E152)</f>
        <v/>
      </c>
    </row>
    <row r="153">
      <c r="A153" s="34" t="n">
        <v>49</v>
      </c>
      <c r="B153" s="13" t="n">
        <v>47362</v>
      </c>
      <c r="C153" s="72">
        <f>F152</f>
        <v/>
      </c>
      <c r="D153" s="72">
        <f>MAX(0,C153*$B$98/12)</f>
        <v/>
      </c>
      <c r="E153" s="72">
        <f>0</f>
        <v/>
      </c>
      <c r="F153" s="72">
        <f>MAX(0,C153-E153)</f>
        <v/>
      </c>
    </row>
    <row r="154">
      <c r="A154" s="34" t="n">
        <v>50</v>
      </c>
      <c r="B154" s="13" t="n">
        <v>47392</v>
      </c>
      <c r="C154" s="72">
        <f>F153</f>
        <v/>
      </c>
      <c r="D154" s="72">
        <f>MAX(0,C154*$B$98/12)</f>
        <v/>
      </c>
      <c r="E154" s="72">
        <f>0</f>
        <v/>
      </c>
      <c r="F154" s="72">
        <f>MAX(0,C154-E154)</f>
        <v/>
      </c>
    </row>
    <row r="155">
      <c r="A155" s="34" t="n">
        <v>51</v>
      </c>
      <c r="B155" s="13" t="n">
        <v>47423</v>
      </c>
      <c r="C155" s="72">
        <f>F154</f>
        <v/>
      </c>
      <c r="D155" s="72">
        <f>MAX(0,C155*$B$98/12)</f>
        <v/>
      </c>
      <c r="E155" s="72">
        <f>0</f>
        <v/>
      </c>
      <c r="F155" s="72">
        <f>MAX(0,C155-E155)</f>
        <v/>
      </c>
    </row>
    <row r="156">
      <c r="A156" s="34" t="n">
        <v>52</v>
      </c>
      <c r="B156" s="13" t="n">
        <v>47453</v>
      </c>
      <c r="C156" s="72">
        <f>F155</f>
        <v/>
      </c>
      <c r="D156" s="72">
        <f>MAX(0,C156*$B$98/12)</f>
        <v/>
      </c>
      <c r="E156" s="72">
        <f>0</f>
        <v/>
      </c>
      <c r="F156" s="72">
        <f>MAX(0,C156-E156)</f>
        <v/>
      </c>
    </row>
    <row r="157">
      <c r="A157" s="34" t="n">
        <v>53</v>
      </c>
      <c r="B157" s="13" t="n">
        <v>47484</v>
      </c>
      <c r="C157" s="72">
        <f>F156</f>
        <v/>
      </c>
      <c r="D157" s="72">
        <f>MAX(0,C157*$B$98/12)</f>
        <v/>
      </c>
      <c r="E157" s="72">
        <f>0</f>
        <v/>
      </c>
      <c r="F157" s="72">
        <f>MAX(0,C157-E157)</f>
        <v/>
      </c>
    </row>
    <row r="158">
      <c r="A158" s="34" t="n">
        <v>54</v>
      </c>
      <c r="B158" s="13" t="n">
        <v>47515</v>
      </c>
      <c r="C158" s="72">
        <f>F157</f>
        <v/>
      </c>
      <c r="D158" s="72">
        <f>MAX(0,C158*$B$98/12)</f>
        <v/>
      </c>
      <c r="E158" s="72">
        <f>0</f>
        <v/>
      </c>
      <c r="F158" s="72">
        <f>MAX(0,C158-E158)</f>
        <v/>
      </c>
    </row>
    <row r="159">
      <c r="A159" s="34" t="n">
        <v>55</v>
      </c>
      <c r="B159" s="13" t="n">
        <v>47543</v>
      </c>
      <c r="C159" s="72">
        <f>F158</f>
        <v/>
      </c>
      <c r="D159" s="72">
        <f>MAX(0,C159*$B$98/12)</f>
        <v/>
      </c>
      <c r="E159" s="72">
        <f>0</f>
        <v/>
      </c>
      <c r="F159" s="72">
        <f>MAX(0,C159-E159)</f>
        <v/>
      </c>
    </row>
    <row r="160">
      <c r="A160" s="34" t="n">
        <v>56</v>
      </c>
      <c r="B160" s="13" t="n">
        <v>47574</v>
      </c>
      <c r="C160" s="72">
        <f>F159</f>
        <v/>
      </c>
      <c r="D160" s="72">
        <f>MAX(0,C160*$B$98/12)</f>
        <v/>
      </c>
      <c r="E160" s="72">
        <f>0</f>
        <v/>
      </c>
      <c r="F160" s="72">
        <f>MAX(0,C160-E160)</f>
        <v/>
      </c>
    </row>
    <row r="161">
      <c r="A161" s="34" t="n">
        <v>57</v>
      </c>
      <c r="B161" s="13" t="n">
        <v>47604</v>
      </c>
      <c r="C161" s="72">
        <f>F160</f>
        <v/>
      </c>
      <c r="D161" s="72">
        <f>MAX(0,C161*$B$98/12)</f>
        <v/>
      </c>
      <c r="E161" s="72">
        <f>0</f>
        <v/>
      </c>
      <c r="F161" s="72">
        <f>MAX(0,C161-E161)</f>
        <v/>
      </c>
    </row>
    <row r="162">
      <c r="A162" s="34" t="n">
        <v>58</v>
      </c>
      <c r="B162" s="13" t="n">
        <v>47635</v>
      </c>
      <c r="C162" s="72">
        <f>F161</f>
        <v/>
      </c>
      <c r="D162" s="72">
        <f>MAX(0,C162*$B$98/12)</f>
        <v/>
      </c>
      <c r="E162" s="72">
        <f>0</f>
        <v/>
      </c>
      <c r="F162" s="72">
        <f>MAX(0,C162-E162)</f>
        <v/>
      </c>
    </row>
    <row r="163">
      <c r="A163" s="34" t="n">
        <v>59</v>
      </c>
      <c r="B163" s="13" t="n">
        <v>47665</v>
      </c>
      <c r="C163" s="72">
        <f>F162</f>
        <v/>
      </c>
      <c r="D163" s="72">
        <f>MAX(0,C163*$B$98/12)</f>
        <v/>
      </c>
      <c r="E163" s="72">
        <f>0</f>
        <v/>
      </c>
      <c r="F163" s="72">
        <f>MAX(0,C163-E163)</f>
        <v/>
      </c>
    </row>
    <row r="164">
      <c r="A164" s="34" t="n">
        <v>60</v>
      </c>
      <c r="B164" s="13" t="n">
        <v>47696</v>
      </c>
      <c r="C164" s="72">
        <f>F163</f>
        <v/>
      </c>
      <c r="D164" s="72">
        <f>MAX(0,C164*$B$98/12)</f>
        <v/>
      </c>
      <c r="E164" s="72">
        <f>0</f>
        <v/>
      </c>
      <c r="F164" s="72">
        <f>MAX(0,C164-E164)</f>
        <v/>
      </c>
    </row>
    <row r="167">
      <c r="A167" s="39" t="inlineStr">
        <is>
          <t>ANNUAL SUMMARY (Combined Both Loans)</t>
        </is>
      </c>
    </row>
    <row r="168">
      <c r="A168" s="62" t="inlineStr">
        <is>
          <t>Year</t>
        </is>
      </c>
      <c r="B168" s="62" t="inlineStr">
        <is>
          <t>Opening Balance</t>
        </is>
      </c>
      <c r="C168" s="62" t="inlineStr">
        <is>
          <t>Total Interest</t>
        </is>
      </c>
      <c r="D168" s="62" t="inlineStr">
        <is>
          <t>Total Principal</t>
        </is>
      </c>
      <c r="E168" s="62" t="inlineStr">
        <is>
          <t>Closing Balance</t>
        </is>
      </c>
    </row>
    <row r="169">
      <c r="A169" s="34" t="inlineStr">
        <is>
          <t>2025 (partial)</t>
        </is>
      </c>
      <c r="B169" s="72">
        <f>$D$5</f>
        <v/>
      </c>
      <c r="C169" s="72">
        <f>$D$7*4</f>
        <v/>
      </c>
      <c r="D169" s="72">
        <f>0</f>
        <v/>
      </c>
      <c r="E169" s="72">
        <f>B169-D169</f>
        <v/>
      </c>
    </row>
    <row r="170">
      <c r="A170" s="34" t="inlineStr">
        <is>
          <t>2026</t>
        </is>
      </c>
      <c r="B170" s="72">
        <f>$D$5</f>
        <v/>
      </c>
      <c r="C170" s="72">
        <f>$D$7*12</f>
        <v/>
      </c>
      <c r="D170" s="72">
        <f>0</f>
        <v/>
      </c>
      <c r="E170" s="72">
        <f>B170-D170</f>
        <v/>
      </c>
    </row>
    <row r="171">
      <c r="A171" s="34" t="inlineStr">
        <is>
          <t>2027</t>
        </is>
      </c>
      <c r="B171" s="72">
        <f>$D$5</f>
        <v/>
      </c>
      <c r="C171" s="72">
        <f>$D$7*12</f>
        <v/>
      </c>
      <c r="D171" s="72">
        <f>0</f>
        <v/>
      </c>
      <c r="E171" s="72">
        <f>B171-D171</f>
        <v/>
      </c>
    </row>
    <row r="172">
      <c r="A172" s="34" t="inlineStr">
        <is>
          <t>2028</t>
        </is>
      </c>
      <c r="B172" s="72">
        <f>$D$5</f>
        <v/>
      </c>
      <c r="C172" s="72">
        <f>$D$7*12</f>
        <v/>
      </c>
      <c r="D172" s="72">
        <f>0</f>
        <v/>
      </c>
      <c r="E172" s="72">
        <f>B172-D172</f>
        <v/>
      </c>
    </row>
    <row r="173">
      <c r="A173" s="34" t="inlineStr">
        <is>
          <t>2029</t>
        </is>
      </c>
      <c r="B173" s="72">
        <f>$D$5</f>
        <v/>
      </c>
      <c r="C173" s="72">
        <f>$D$7*12</f>
        <v/>
      </c>
      <c r="D173" s="72">
        <f>0</f>
        <v/>
      </c>
      <c r="E173" s="72">
        <f>B173-D173</f>
        <v/>
      </c>
    </row>
    <row r="174">
      <c r="A174" s="34" t="inlineStr">
        <is>
          <t>2030</t>
        </is>
      </c>
      <c r="B174" s="72">
        <f>$D$5</f>
        <v/>
      </c>
      <c r="C174" s="72">
        <f>$D$7*8</f>
        <v/>
      </c>
      <c r="D174" s="72">
        <f>0</f>
        <v/>
      </c>
      <c r="E174" s="72">
        <f>B174-D174</f>
        <v/>
      </c>
    </row>
    <row r="177">
      <c r="A177" s="39" t="inlineStr">
        <is>
          <t>DEBT SCHEDULE LINKAGE</t>
        </is>
      </c>
    </row>
    <row r="178">
      <c r="A178" s="41" t="inlineStr">
        <is>
          <t>Metric</t>
        </is>
      </c>
      <c r="B178" s="41" t="inlineStr">
        <is>
          <t>Loan 1: 11th St</t>
        </is>
      </c>
      <c r="C178" s="41" t="inlineStr">
        <is>
          <t>Loan 2: Harrison</t>
        </is>
      </c>
      <c r="D178" s="41" t="inlineStr">
        <is>
          <t>Combined Total</t>
        </is>
      </c>
      <c r="E178" s="41" t="inlineStr">
        <is>
          <t>DS Link Cell</t>
        </is>
      </c>
    </row>
    <row r="179">
      <c r="A179" s="34" t="inlineStr">
        <is>
          <t>Opening Balance</t>
        </is>
      </c>
      <c r="B179" s="24">
        <f>$B$24</f>
        <v/>
      </c>
      <c r="C179" s="24">
        <f>$B$97</f>
        <v/>
      </c>
      <c r="D179" s="114">
        <f>B179+C179</f>
        <v/>
      </c>
      <c r="E179" s="34" t="inlineStr">
        <is>
          <t>DS: Commonwealth Opening</t>
        </is>
      </c>
    </row>
    <row r="180">
      <c r="A180" s="34" t="inlineStr">
        <is>
          <t>Current Portion (0)</t>
        </is>
      </c>
      <c r="B180" s="24">
        <f>0</f>
        <v/>
      </c>
      <c r="C180" s="24">
        <f>0</f>
        <v/>
      </c>
      <c r="D180" s="114">
        <f>0</f>
        <v/>
      </c>
      <c r="E180" s="34" t="inlineStr">
        <is>
          <t>DS: Commonwealth Current</t>
        </is>
      </c>
    </row>
    <row r="181">
      <c r="A181" s="34" t="inlineStr">
        <is>
          <t>LT Portion (= Balance)</t>
        </is>
      </c>
      <c r="B181" s="24">
        <f>$B$24</f>
        <v/>
      </c>
      <c r="C181" s="24">
        <f>$B$97</f>
        <v/>
      </c>
      <c r="D181" s="114">
        <f>B180+C180</f>
        <v/>
      </c>
      <c r="E181" s="34" t="inlineStr">
        <is>
          <t>DS: Commonwealth LT</t>
        </is>
      </c>
    </row>
    <row r="182">
      <c r="A182" s="34" t="inlineStr">
        <is>
          <t>Annual Interest</t>
        </is>
      </c>
      <c r="B182" s="24">
        <f>$B$26*12</f>
        <v/>
      </c>
      <c r="C182" s="24">
        <f>$B$99*12</f>
        <v/>
      </c>
      <c r="D182" s="114">
        <f>B181+C181</f>
        <v/>
      </c>
      <c r="E182" s="34" t="inlineStr">
        <is>
          <t>DS: Commonwealth Interest</t>
        </is>
      </c>
    </row>
  </sheetData>
  <mergeCells count="14">
    <mergeCell ref="A13:G13"/>
    <mergeCell ref="A14:G14"/>
    <mergeCell ref="A1:G1"/>
    <mergeCell ref="A17:G17"/>
    <mergeCell ref="A18:G18"/>
    <mergeCell ref="A94:G94"/>
    <mergeCell ref="A3:G3"/>
    <mergeCell ref="A21:G21"/>
    <mergeCell ref="A167:G167"/>
    <mergeCell ref="A12:G12"/>
    <mergeCell ref="A16:G16"/>
    <mergeCell ref="A15:G15"/>
    <mergeCell ref="A177:G177"/>
    <mergeCell ref="A19:G19"/>
  </mergeCell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tabColor rgb="001F3864"/>
    <outlinePr summaryBelow="1" summaryRight="1"/>
    <pageSetUpPr/>
  </sheetPr>
  <dimension ref="B2:F55"/>
  <sheetViews>
    <sheetView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45" customWidth="1" min="3" max="3"/>
    <col width="4" customWidth="1" min="4" max="4"/>
    <col width="28" customWidth="1" min="5" max="5"/>
    <col width="45" customWidth="1" min="6" max="6"/>
  </cols>
  <sheetData>
    <row r="2">
      <c r="B2" s="202" t="inlineStr">
        <is>
          <t>MEIBORG COMPANIES, INC.</t>
        </is>
      </c>
    </row>
    <row r="3">
      <c r="B3" s="203" t="inlineStr">
        <is>
          <t>Financial Model</t>
        </is>
      </c>
    </row>
    <row r="4">
      <c r="B4" s="204" t="inlineStr">
        <is>
          <t>Confidential - For Internal Use Only</t>
        </is>
      </c>
    </row>
    <row r="6" ht="22" customHeight="1">
      <c r="B6" s="205" t="inlineStr">
        <is>
          <t>COMPANY INFORMATION</t>
        </is>
      </c>
      <c r="E6" s="205" t="inlineStr">
        <is>
          <t>TRANSACTION OVERVIEW</t>
        </is>
      </c>
    </row>
    <row r="7">
      <c r="B7" s="207" t="inlineStr">
        <is>
          <t>Company Name:</t>
        </is>
      </c>
      <c r="C7" s="208" t="inlineStr">
        <is>
          <t>Meiborg Companies, Inc.</t>
        </is>
      </c>
      <c r="E7" s="209" t="inlineStr">
        <is>
          <t>Date of Analysis:</t>
        </is>
      </c>
      <c r="F7" s="210" t="inlineStr">
        <is>
          <t>May 2026</t>
        </is>
      </c>
    </row>
    <row r="8">
      <c r="B8" s="207" t="inlineStr">
        <is>
          <t>Parent Entity:</t>
        </is>
      </c>
      <c r="C8" s="208" t="inlineStr">
        <is>
          <t>Meiborg Companies, Inc. (S-Corporation)</t>
        </is>
      </c>
      <c r="E8" s="209" t="inlineStr">
        <is>
          <t>Model Version:</t>
        </is>
      </c>
      <c r="F8" s="210" t="inlineStr">
        <is>
          <t>1.0</t>
        </is>
      </c>
    </row>
    <row r="9">
      <c r="B9" s="207" t="inlineStr">
        <is>
          <t>Industry:</t>
        </is>
      </c>
      <c r="C9" s="208" t="inlineStr">
        <is>
          <t>Trucking, Logistics, Warehousing</t>
        </is>
      </c>
      <c r="E9" s="209" t="inlineStr">
        <is>
          <t>Historical Period:</t>
        </is>
      </c>
      <c r="F9" s="210" t="inlineStr">
        <is>
          <t>2021-2025</t>
        </is>
      </c>
    </row>
    <row r="10">
      <c r="B10" s="207" t="inlineStr">
        <is>
          <t>Headquarters:</t>
        </is>
      </c>
      <c r="C10" s="208" t="inlineStr">
        <is>
          <t>Rockford, Illinois</t>
        </is>
      </c>
      <c r="E10" s="209" t="inlineStr">
        <is>
          <t>Projection Period:</t>
        </is>
      </c>
      <c r="F10" s="210" t="inlineStr">
        <is>
          <t>2026E-2027E</t>
        </is>
      </c>
    </row>
    <row r="11">
      <c r="B11" s="207" t="inlineStr">
        <is>
          <t>Fiscal Year End:</t>
        </is>
      </c>
      <c r="C11" s="208" t="inlineStr">
        <is>
          <t>December 31</t>
        </is>
      </c>
    </row>
    <row r="12">
      <c r="B12" s="207" t="inlineStr">
        <is>
          <t>Reporting Currency:</t>
        </is>
      </c>
      <c r="C12" s="208" t="inlineStr">
        <is>
          <t>USD</t>
        </is>
      </c>
      <c r="E12" s="211" t="inlineStr">
        <is>
          <t>DATA ROOM SOURCES</t>
        </is>
      </c>
      <c r="F12" s="231" t="n"/>
    </row>
    <row r="13">
      <c r="B13" s="207" t="inlineStr">
        <is>
          <t>Reporting Basis:</t>
        </is>
      </c>
      <c r="C13" s="208" t="inlineStr">
        <is>
          <t>US GAAP (Reviewed Financial Statements)</t>
        </is>
      </c>
      <c r="E13" s="213" t="inlineStr">
        <is>
          <t xml:space="preserve">  - 13_Year_Summary_Financials.xlsx</t>
        </is>
      </c>
      <c r="F13" s="231" t="n"/>
    </row>
    <row r="14">
      <c r="E14" s="213" t="inlineStr">
        <is>
          <t xml:space="preserve">  - Meiborg_FS_Final_2024.pdf</t>
        </is>
      </c>
      <c r="F14" s="231" t="n"/>
    </row>
    <row r="15" ht="22" customHeight="1">
      <c r="B15" s="205" t="inlineStr">
        <is>
          <t>SUBSIDIARIES (Wholly-Owned Unless Noted)</t>
        </is>
      </c>
      <c r="E15" s="213" t="inlineStr">
        <is>
          <t xml:space="preserve">  - Meiborg_FS_Final_2023.pdf</t>
        </is>
      </c>
      <c r="F15" s="231" t="n"/>
    </row>
    <row r="16">
      <c r="B16" s="214" t="inlineStr">
        <is>
          <t>1. Meiborg Bros. Inc. (MBI)</t>
        </is>
      </c>
      <c r="C16" s="215" t="inlineStr">
        <is>
          <t>Core trucking operations</t>
        </is>
      </c>
      <c r="E16" s="213" t="inlineStr">
        <is>
          <t xml:space="preserve">  - Meiborg_FS_Final_2022.pdf</t>
        </is>
      </c>
      <c r="F16" s="231" t="n"/>
    </row>
    <row r="17">
      <c r="B17" s="214" t="inlineStr">
        <is>
          <t>2. Meiborg, Inc. d/b/a Silver Arrow Express (SAE)</t>
        </is>
      </c>
      <c r="C17" s="215" t="inlineStr">
        <is>
          <t>Trucking / logistics</t>
        </is>
      </c>
      <c r="E17" s="213" t="inlineStr">
        <is>
          <t xml:space="preserve">  - Meiborg_YTD_IS_2025_11.pdf</t>
        </is>
      </c>
      <c r="F17" s="231" t="n"/>
    </row>
    <row r="18">
      <c r="B18" s="214" t="inlineStr">
        <is>
          <t>3. Meiborg Holdings I, Inc. (MH1)</t>
        </is>
      </c>
      <c r="C18" s="215" t="inlineStr">
        <is>
          <t>Real estate holding</t>
        </is>
      </c>
      <c r="E18" s="213" t="inlineStr">
        <is>
          <t xml:space="preserve">  - Meiborg_YTD_BS_2025_11.pdf</t>
        </is>
      </c>
      <c r="F18" s="231" t="n"/>
    </row>
    <row r="19">
      <c r="B19" s="214" t="inlineStr">
        <is>
          <t>4. Meiborg Holdings II, Inc. (MH2)</t>
        </is>
      </c>
      <c r="C19" s="215" t="inlineStr">
        <is>
          <t>Real estate holding</t>
        </is>
      </c>
      <c r="E19" s="213" t="inlineStr">
        <is>
          <t xml:space="preserve">  - Meiborg_Debt_Schedule_202511.xlsx</t>
        </is>
      </c>
      <c r="F19" s="231" t="n"/>
    </row>
    <row r="20">
      <c r="B20" s="214" t="inlineStr">
        <is>
          <t>5. Meiborg Holdings III, LLC (MHIII)</t>
        </is>
      </c>
      <c r="C20" s="215" t="inlineStr">
        <is>
          <t>Real estate holding</t>
        </is>
      </c>
      <c r="E20" s="213" t="inlineStr">
        <is>
          <t xml:space="preserve">  - Line14_Financial_Package_Output_CM_202512.xlsx</t>
        </is>
      </c>
      <c r="F20" s="231" t="n"/>
    </row>
    <row r="21">
      <c r="B21" s="214" t="inlineStr">
        <is>
          <t>6. Meiborg Holdings V, LLC (MHV)</t>
        </is>
      </c>
      <c r="C21" s="215" t="inlineStr">
        <is>
          <t>Real estate holding</t>
        </is>
      </c>
    </row>
    <row r="22">
      <c r="B22" s="214" t="inlineStr">
        <is>
          <t>7. Meiborg Enterprises, LLC (ENT)</t>
        </is>
      </c>
      <c r="C22" s="215" t="inlineStr">
        <is>
          <t>Enterprise services</t>
        </is>
      </c>
    </row>
    <row r="23">
      <c r="B23" s="214" t="inlineStr">
        <is>
          <t>8. Meiborg Warehousing, Inc. (WHS)</t>
        </is>
      </c>
      <c r="C23" s="215" t="inlineStr">
        <is>
          <t>Warehousing operations</t>
        </is>
      </c>
    </row>
    <row r="24">
      <c r="B24" s="214" t="inlineStr">
        <is>
          <t>9. Meiborg Logistics, LLC (LOG)</t>
        </is>
      </c>
      <c r="C24" s="215" t="inlineStr">
        <is>
          <t>Logistics services</t>
        </is>
      </c>
    </row>
    <row r="25">
      <c r="B25" s="214" t="inlineStr">
        <is>
          <t>10. Meiborg 3PL, LLC (3PL)</t>
        </is>
      </c>
      <c r="C25" s="215" t="inlineStr">
        <is>
          <t>Third-party logistics (majority-owned by LOG)</t>
        </is>
      </c>
    </row>
    <row r="26">
      <c r="B26" s="214" t="inlineStr">
        <is>
          <t>11. Enterprise Diesel Solutions, Inc. (EDS)</t>
        </is>
      </c>
      <c r="C26" s="215" t="inlineStr">
        <is>
          <t>Diesel/fuel services</t>
        </is>
      </c>
    </row>
    <row r="27">
      <c r="B27" s="214" t="inlineStr">
        <is>
          <t>12. Orbit Fuels (OF1)</t>
        </is>
      </c>
      <c r="C27" s="215" t="inlineStr">
        <is>
          <t>Fuel operations</t>
        </is>
      </c>
    </row>
    <row r="30" ht="22" customHeight="1">
      <c r="B30" s="205" t="inlineStr">
        <is>
          <t>MODEL CONTENTS</t>
        </is>
      </c>
    </row>
    <row r="31">
      <c r="B31" s="207" t="inlineStr">
        <is>
          <t>Sheet Name</t>
        </is>
      </c>
      <c r="C31" s="207" t="inlineStr">
        <is>
          <t>Description</t>
        </is>
      </c>
      <c r="D31" s="232" t="n"/>
      <c r="E31" s="232" t="n"/>
      <c r="F31" s="231" t="n"/>
    </row>
    <row r="32">
      <c r="B32" s="217" t="inlineStr">
        <is>
          <t>Cover</t>
        </is>
      </c>
      <c r="C32" s="214" t="inlineStr">
        <is>
          <t>Company overview, transaction summary, and model navigation</t>
        </is>
      </c>
      <c r="D32" s="232" t="n"/>
      <c r="E32" s="232" t="n"/>
      <c r="F32" s="231" t="n"/>
    </row>
    <row r="33">
      <c r="B33" s="217" t="inlineStr">
        <is>
          <t>Income Statement</t>
        </is>
      </c>
      <c r="C33" s="214" t="inlineStr">
        <is>
          <t>Consolidated P&amp;L: Revenue, COGS, OpEx, EBIT, EBITDA, Net Income (2021-2025)</t>
        </is>
      </c>
      <c r="D33" s="232" t="n"/>
      <c r="E33" s="232" t="n"/>
      <c r="F33" s="231" t="n"/>
    </row>
    <row r="34">
      <c r="B34" s="217" t="inlineStr">
        <is>
          <t>Balance Sheet</t>
        </is>
      </c>
      <c r="C34" s="214" t="inlineStr">
        <is>
          <t>Consolidated Assets, Liabilities, and Equity (2021-2025)</t>
        </is>
      </c>
      <c r="D34" s="232" t="n"/>
      <c r="E34" s="232" t="n"/>
      <c r="F34" s="231" t="n"/>
    </row>
    <row r="35">
      <c r="B35" s="217" t="inlineStr">
        <is>
          <t>Cash Flow</t>
        </is>
      </c>
      <c r="C35" s="214" t="inlineStr">
        <is>
          <t>Statement of Cash Flows - Indirect Method (2021-2024)</t>
        </is>
      </c>
      <c r="D35" s="232" t="n"/>
      <c r="E35" s="232" t="n"/>
      <c r="F35" s="231" t="n"/>
    </row>
    <row r="36">
      <c r="B36" s="217" t="inlineStr">
        <is>
          <t>Debt Schedule</t>
        </is>
      </c>
      <c r="C36" s="214" t="inlineStr">
        <is>
          <t>Summary of all debt facilities with amortization and interest</t>
        </is>
      </c>
      <c r="D36" s="232" t="n"/>
      <c r="E36" s="232" t="n"/>
      <c r="F36" s="231" t="n"/>
    </row>
    <row r="37">
      <c r="B37" s="217" t="inlineStr">
        <is>
          <t>Assumptions</t>
        </is>
      </c>
      <c r="C37" s="214" t="inlineStr">
        <is>
          <t>Key model drivers and scenario inputs (Downside / Base / Upside)</t>
        </is>
      </c>
      <c r="D37" s="232" t="n"/>
      <c r="E37" s="232" t="n"/>
      <c r="F37" s="231" t="n"/>
    </row>
    <row r="38">
      <c r="B38" s="217" t="inlineStr">
        <is>
          <t>P&amp;L Detail</t>
        </is>
      </c>
      <c r="C38" s="214" t="inlineStr">
        <is>
          <t>Account-level detail with analyst notes on recurring vs. one-time items</t>
        </is>
      </c>
      <c r="D38" s="232" t="n"/>
      <c r="E38" s="232" t="n"/>
      <c r="F38" s="231" t="n"/>
    </row>
    <row r="39">
      <c r="B39" s="217" t="inlineStr">
        <is>
          <t>QoE</t>
        </is>
      </c>
      <c r="C39" s="214" t="inlineStr">
        <is>
          <t>Quality of Earnings analysis with EBITDA adjustments</t>
        </is>
      </c>
      <c r="D39" s="232" t="n"/>
      <c r="E39" s="232" t="n"/>
      <c r="F39" s="231" t="n"/>
    </row>
    <row r="41">
      <c r="B41" s="218" t="inlineStr">
        <is>
          <t>Note: Individual loan amortization schedules are in hidden sheets (prefix "_"). Unhide to view detailed loan-by-loan schedules.</t>
        </is>
      </c>
    </row>
    <row r="43" ht="22" customHeight="1">
      <c r="B43" s="205" t="inlineStr">
        <is>
          <t>KEY METRICS SNAPSHOT (Historical)</t>
        </is>
      </c>
    </row>
    <row r="44">
      <c r="B44" s="219" t="inlineStr">
        <is>
          <t>Metric</t>
        </is>
      </c>
      <c r="C44" s="220" t="inlineStr">
        <is>
          <t>2022</t>
        </is>
      </c>
      <c r="D44" s="220" t="inlineStr">
        <is>
          <t>2023</t>
        </is>
      </c>
      <c r="E44" s="220" t="inlineStr">
        <is>
          <t>2024</t>
        </is>
      </c>
      <c r="F44" s="220" t="inlineStr">
        <is>
          <t>2025</t>
        </is>
      </c>
    </row>
    <row r="45">
      <c r="B45" s="221" t="inlineStr">
        <is>
          <t>Revenue ($)</t>
        </is>
      </c>
      <c r="C45" s="222" t="inlineStr">
        <is>
          <t>90,082,434</t>
        </is>
      </c>
      <c r="D45" s="222" t="inlineStr">
        <is>
          <t>84,111,634</t>
        </is>
      </c>
      <c r="E45" s="222" t="inlineStr">
        <is>
          <t>87,686,174</t>
        </is>
      </c>
      <c r="F45" s="222" t="inlineStr">
        <is>
          <t>109,431,743</t>
        </is>
      </c>
    </row>
    <row r="46">
      <c r="B46" s="221" t="inlineStr">
        <is>
          <t>EBITDA ($)</t>
        </is>
      </c>
      <c r="C46" s="222" t="inlineStr">
        <is>
          <t>7,139,628</t>
        </is>
      </c>
      <c r="D46" s="222" t="inlineStr">
        <is>
          <t>8,351,918</t>
        </is>
      </c>
      <c r="E46" s="222" t="inlineStr">
        <is>
          <t>9,508,670</t>
        </is>
      </c>
      <c r="F46" s="222" t="inlineStr">
        <is>
          <t>~11,300,000</t>
        </is>
      </c>
    </row>
    <row r="47">
      <c r="B47" s="221" t="inlineStr">
        <is>
          <t>Net Income ($)</t>
        </is>
      </c>
      <c r="C47" s="222" t="inlineStr">
        <is>
          <t>3,608,823</t>
        </is>
      </c>
      <c r="D47" s="222" t="inlineStr">
        <is>
          <t>2,335,455</t>
        </is>
      </c>
      <c r="E47" s="222" t="inlineStr">
        <is>
          <t>(265,487)</t>
        </is>
      </c>
      <c r="F47" s="222" t="inlineStr">
        <is>
          <t>791,575*</t>
        </is>
      </c>
    </row>
    <row r="48">
      <c r="B48" s="221" t="inlineStr">
        <is>
          <t>Total Assets ($)</t>
        </is>
      </c>
      <c r="C48" s="222" t="inlineStr">
        <is>
          <t>76,652,631</t>
        </is>
      </c>
      <c r="D48" s="222" t="inlineStr">
        <is>
          <t>78,888,069</t>
        </is>
      </c>
      <c r="E48" s="222" t="inlineStr">
        <is>
          <t>76,750,482</t>
        </is>
      </c>
      <c r="F48" s="222" t="inlineStr">
        <is>
          <t>79,712,115</t>
        </is>
      </c>
    </row>
    <row r="49">
      <c r="B49" s="221" t="inlineStr">
        <is>
          <t>Total Equity ($)</t>
        </is>
      </c>
      <c r="C49" s="222" t="inlineStr">
        <is>
          <t>16,215,318</t>
        </is>
      </c>
      <c r="D49" s="222" t="inlineStr">
        <is>
          <t>16,809,807</t>
        </is>
      </c>
      <c r="E49" s="222" t="inlineStr">
        <is>
          <t>16,148,872</t>
        </is>
      </c>
      <c r="F49" s="222" t="inlineStr">
        <is>
          <t>15,419,447</t>
        </is>
      </c>
    </row>
    <row r="50">
      <c r="B50" s="221" t="inlineStr">
        <is>
          <t>Total Debt ($)</t>
        </is>
      </c>
      <c r="C50" s="222" t="inlineStr">
        <is>
          <t>~45,330,000</t>
        </is>
      </c>
      <c r="D50" s="222" t="inlineStr">
        <is>
          <t>~48,699,000</t>
        </is>
      </c>
      <c r="E50" s="222" t="inlineStr">
        <is>
          <t>~51,474,000</t>
        </is>
      </c>
      <c r="F50" s="222" t="inlineStr">
        <is>
          <t>~46,902,000</t>
        </is>
      </c>
    </row>
    <row r="52">
      <c r="B52" s="218" t="inlineStr">
        <is>
          <t>*2025 Net Income is YTD Nov from internal reports; full year not yet reviewed. 2025 FY figures from internal management accounts.</t>
        </is>
      </c>
    </row>
    <row r="55">
      <c r="B55" s="223" t="inlineStr">
        <is>
          <t>Model prepared by Financial Model Builder | Generated: May 2026</t>
        </is>
      </c>
    </row>
  </sheetData>
  <mergeCells count="29">
    <mergeCell ref="B4:F4"/>
    <mergeCell ref="E12:F12"/>
    <mergeCell ref="C39:F39"/>
    <mergeCell ref="B3:F3"/>
    <mergeCell ref="C38:F38"/>
    <mergeCell ref="E14:F14"/>
    <mergeCell ref="C32:F32"/>
    <mergeCell ref="E17:F17"/>
    <mergeCell ref="C37:F37"/>
    <mergeCell ref="B52:F52"/>
    <mergeCell ref="B43:F43"/>
    <mergeCell ref="E20:F20"/>
    <mergeCell ref="B2:F2"/>
    <mergeCell ref="C34:F34"/>
    <mergeCell ref="E19:F19"/>
    <mergeCell ref="E13:F13"/>
    <mergeCell ref="C33:F33"/>
    <mergeCell ref="B41:F41"/>
    <mergeCell ref="E6:F6"/>
    <mergeCell ref="E15:F15"/>
    <mergeCell ref="C35:F35"/>
    <mergeCell ref="B30:F30"/>
    <mergeCell ref="B6:C6"/>
    <mergeCell ref="C31:F31"/>
    <mergeCell ref="B55:F55"/>
    <mergeCell ref="B15:C15"/>
    <mergeCell ref="E16:F16"/>
    <mergeCell ref="E18:F18"/>
    <mergeCell ref="C36:F36"/>
  </mergeCells>
  <pageMargins left="0.75" right="0.75" top="1" bottom="1" header="0.5" footer="0.5"/>
  <legacyDrawing xmlns:r="http://schemas.openxmlformats.org/officeDocument/2006/relationships" r:id="anysvml"/>
</worksheet>
</file>

<file path=xl/worksheets/sheet20.xml><?xml version="1.0" encoding="utf-8"?>
<worksheet xmlns="http://schemas.openxmlformats.org/spreadsheetml/2006/main">
  <sheetPr>
    <tabColor rgb="00808080"/>
    <outlinePr summaryBelow="1" summaryRight="1"/>
    <pageSetUpPr/>
  </sheetPr>
  <dimension ref="A1:G102"/>
  <sheetViews>
    <sheetView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15" t="inlineStr">
        <is>
          <t>WIN WIN LOAN - REAL ESTATE (INTEREST-ONLY BALLOON LOANS)</t>
        </is>
      </c>
    </row>
    <row r="3">
      <c r="A3" s="20" t="inlineStr">
        <is>
          <t>LENDER SUMMARY</t>
        </is>
      </c>
    </row>
    <row r="4">
      <c r="A4" s="41" t="inlineStr"/>
      <c r="B4" s="41" t="inlineStr">
        <is>
          <t>Property</t>
        </is>
      </c>
      <c r="C4" s="41" t="inlineStr">
        <is>
          <t>Opening Balance</t>
        </is>
      </c>
      <c r="D4" s="41" t="inlineStr">
        <is>
          <t>Annual Rate</t>
        </is>
      </c>
      <c r="E4" s="41" t="inlineStr">
        <is>
          <t>Monthly Payment</t>
        </is>
      </c>
      <c r="F4" s="41" t="inlineStr">
        <is>
          <t>Loan Type</t>
        </is>
      </c>
      <c r="G4" s="41" t="inlineStr">
        <is>
          <t>Start Date</t>
        </is>
      </c>
    </row>
    <row r="5">
      <c r="A5" s="34" t="n">
        <v>1</v>
      </c>
      <c r="B5" s="34" t="inlineStr">
        <is>
          <t>Landmark &amp; 11th St</t>
        </is>
      </c>
      <c r="C5" s="35" t="n">
        <v>2500000</v>
      </c>
      <c r="D5" s="36" t="n">
        <v>0.12</v>
      </c>
      <c r="E5" s="35" t="n">
        <v>25000</v>
      </c>
      <c r="F5" s="34" t="inlineStr">
        <is>
          <t>INTEREST_ONLY_BALLOON</t>
        </is>
      </c>
      <c r="G5" s="34" t="inlineStr">
        <is>
          <t>Aug-2025</t>
        </is>
      </c>
    </row>
    <row r="6">
      <c r="A6" s="34" t="n">
        <v>2</v>
      </c>
      <c r="B6" s="34" t="inlineStr">
        <is>
          <t>Race St</t>
        </is>
      </c>
      <c r="C6" s="35" t="n">
        <v>1500000</v>
      </c>
      <c r="D6" s="36" t="n">
        <v>0.12</v>
      </c>
      <c r="E6" s="35" t="n">
        <v>15000</v>
      </c>
      <c r="F6" s="34" t="inlineStr">
        <is>
          <t>INTEREST_ONLY_BALLOON</t>
        </is>
      </c>
      <c r="G6" s="34" t="inlineStr">
        <is>
          <t>Aug-2025</t>
        </is>
      </c>
    </row>
    <row r="7">
      <c r="A7" s="34" t="n"/>
      <c r="B7" s="41" t="inlineStr">
        <is>
          <t>TOTAL</t>
        </is>
      </c>
      <c r="C7" s="116">
        <f>C5+C6</f>
        <v/>
      </c>
      <c r="D7" s="34" t="n"/>
      <c r="E7" s="116">
        <f>E5+E6</f>
        <v/>
      </c>
      <c r="F7" s="34" t="n"/>
      <c r="G7" s="34" t="n"/>
    </row>
    <row r="9">
      <c r="A9" s="17" t="inlineStr">
        <is>
          <t>AI LOAN ANALYSIS</t>
        </is>
      </c>
    </row>
    <row r="10">
      <c r="A10" s="117" t="inlineStr">
        <is>
          <t>Loan Classification: INTEREST_ONLY_BALLOON - Principal remains constant until maturity balloon payment.</t>
        </is>
      </c>
    </row>
    <row r="11">
      <c r="A11" s="117" t="inlineStr">
        <is>
          <t>Rate Derivation: $25,000/mo on $2,500,000 = 1%/mo = 12%/yr; $15,000/mo on $1,500,000 = 1%/mo = 12%/yr</t>
        </is>
      </c>
    </row>
    <row r="12">
      <c r="A12" s="117" t="inlineStr">
        <is>
          <t>Maturity: Not stated in source document - balloon due at maturity (date TBD).</t>
        </is>
      </c>
    </row>
    <row r="13">
      <c r="A13" s="117" t="inlineStr">
        <is>
          <t>Collateral: Real estate properties - Landmark &amp; 11th St, Race St.</t>
        </is>
      </c>
    </row>
    <row r="14">
      <c r="A14" s="117" t="inlineStr">
        <is>
          <t>Risk Note: Interest-only loans with balloon exposure; refinance or sale required at maturity.</t>
        </is>
      </c>
    </row>
    <row r="17">
      <c r="A17" s="39" t="inlineStr">
        <is>
          <t>LOAN 1: LANDMARK &amp; 11TH ST - AMORTIZATION SCHEDULE</t>
        </is>
      </c>
    </row>
    <row r="19">
      <c r="A19" t="inlineStr">
        <is>
          <t>Loan ID:</t>
        </is>
      </c>
      <c r="B19" t="inlineStr">
        <is>
          <t>10-2926-000-000-00</t>
        </is>
      </c>
    </row>
    <row r="20">
      <c r="A20" t="inlineStr">
        <is>
          <t>Property:</t>
        </is>
      </c>
      <c r="B20" t="inlineStr">
        <is>
          <t>Landmark &amp; 11th St</t>
        </is>
      </c>
    </row>
    <row r="21">
      <c r="A21" t="inlineStr">
        <is>
          <t>Opening Bal:</t>
        </is>
      </c>
      <c r="B21" s="118">
        <f>C5</f>
        <v/>
      </c>
    </row>
    <row r="22">
      <c r="A22" t="inlineStr">
        <is>
          <t>Annual Rate:</t>
        </is>
      </c>
      <c r="B22" s="119">
        <f>D5</f>
        <v/>
      </c>
    </row>
    <row r="23">
      <c r="A23" t="inlineStr">
        <is>
          <t>Monthly Pmt:</t>
        </is>
      </c>
      <c r="B23" s="118">
        <f>E5</f>
        <v/>
      </c>
    </row>
    <row r="24">
      <c r="A24" t="inlineStr">
        <is>
          <t>Start Date:</t>
        </is>
      </c>
      <c r="B24" t="inlineStr">
        <is>
          <t>Aug-2025</t>
        </is>
      </c>
    </row>
    <row r="25">
      <c r="A25" t="inlineStr">
        <is>
          <t>Loan Type:</t>
        </is>
      </c>
      <c r="B25" t="inlineStr">
        <is>
          <t>Interest-Only Balloon</t>
        </is>
      </c>
    </row>
    <row r="27">
      <c r="A27" s="120" t="inlineStr">
        <is>
          <t>Month #</t>
        </is>
      </c>
      <c r="B27" s="120" t="inlineStr">
        <is>
          <t>Date</t>
        </is>
      </c>
      <c r="C27" s="120" t="inlineStr">
        <is>
          <t>Opening Balance</t>
        </is>
      </c>
      <c r="D27" s="120" t="inlineStr">
        <is>
          <t>Interest</t>
        </is>
      </c>
      <c r="E27" s="120" t="inlineStr">
        <is>
          <t>Principal</t>
        </is>
      </c>
      <c r="F27" s="120" t="inlineStr">
        <is>
          <t>Closing Balance</t>
        </is>
      </c>
    </row>
    <row r="28">
      <c r="A28" s="34" t="n">
        <v>1</v>
      </c>
      <c r="B28" s="124" t="n">
        <v>45870</v>
      </c>
      <c r="C28" s="72">
        <f>$B$21</f>
        <v/>
      </c>
      <c r="D28" s="72">
        <f>MAX(0,C28*$B$22/12)</f>
        <v/>
      </c>
      <c r="E28" s="72">
        <f>MAX(0,$B$23-D28)</f>
        <v/>
      </c>
      <c r="F28" s="72">
        <f>MAX(0,C28-E28)</f>
        <v/>
      </c>
    </row>
    <row r="29">
      <c r="A29" s="34" t="n">
        <v>2</v>
      </c>
      <c r="B29" s="124" t="n">
        <v>45901</v>
      </c>
      <c r="C29" s="72">
        <f>F28</f>
        <v/>
      </c>
      <c r="D29" s="72">
        <f>MAX(0,C29*$B$22/12)</f>
        <v/>
      </c>
      <c r="E29" s="72">
        <f>MAX(0,$B$23-D29)</f>
        <v/>
      </c>
      <c r="F29" s="72">
        <f>MAX(0,C29-E29)</f>
        <v/>
      </c>
    </row>
    <row r="30">
      <c r="A30" s="34" t="n">
        <v>3</v>
      </c>
      <c r="B30" s="124" t="n">
        <v>45931</v>
      </c>
      <c r="C30" s="72">
        <f>F29</f>
        <v/>
      </c>
      <c r="D30" s="72">
        <f>MAX(0,C30*$B$22/12)</f>
        <v/>
      </c>
      <c r="E30" s="72">
        <f>MAX(0,$B$23-D30)</f>
        <v/>
      </c>
      <c r="F30" s="72">
        <f>MAX(0,C30-E30)</f>
        <v/>
      </c>
    </row>
    <row r="31">
      <c r="A31" s="34" t="n">
        <v>4</v>
      </c>
      <c r="B31" s="124" t="n">
        <v>45962</v>
      </c>
      <c r="C31" s="72">
        <f>F30</f>
        <v/>
      </c>
      <c r="D31" s="72">
        <f>MAX(0,C31*$B$22/12)</f>
        <v/>
      </c>
      <c r="E31" s="72">
        <f>MAX(0,$B$23-D31)</f>
        <v/>
      </c>
      <c r="F31" s="72">
        <f>MAX(0,C31-E31)</f>
        <v/>
      </c>
    </row>
    <row r="32">
      <c r="A32" s="34" t="n">
        <v>5</v>
      </c>
      <c r="B32" s="124" t="n">
        <v>45992</v>
      </c>
      <c r="C32" s="72">
        <f>F31</f>
        <v/>
      </c>
      <c r="D32" s="72">
        <f>MAX(0,C32*$B$22/12)</f>
        <v/>
      </c>
      <c r="E32" s="72">
        <f>MAX(0,$B$23-D32)</f>
        <v/>
      </c>
      <c r="F32" s="72">
        <f>MAX(0,C32-E32)</f>
        <v/>
      </c>
    </row>
    <row r="33">
      <c r="A33" s="34" t="n">
        <v>6</v>
      </c>
      <c r="B33" s="124" t="n">
        <v>46023</v>
      </c>
      <c r="C33" s="72">
        <f>F32</f>
        <v/>
      </c>
      <c r="D33" s="72">
        <f>MAX(0,C33*$B$22/12)</f>
        <v/>
      </c>
      <c r="E33" s="72">
        <f>MAX(0,$B$23-D33)</f>
        <v/>
      </c>
      <c r="F33" s="72">
        <f>MAX(0,C33-E33)</f>
        <v/>
      </c>
    </row>
    <row r="34">
      <c r="A34" s="34" t="n">
        <v>7</v>
      </c>
      <c r="B34" s="124" t="n">
        <v>46054</v>
      </c>
      <c r="C34" s="72">
        <f>F33</f>
        <v/>
      </c>
      <c r="D34" s="72">
        <f>MAX(0,C34*$B$22/12)</f>
        <v/>
      </c>
      <c r="E34" s="72">
        <f>MAX(0,$B$23-D34)</f>
        <v/>
      </c>
      <c r="F34" s="72">
        <f>MAX(0,C34-E34)</f>
        <v/>
      </c>
    </row>
    <row r="35">
      <c r="A35" s="34" t="n">
        <v>8</v>
      </c>
      <c r="B35" s="124" t="n">
        <v>46082</v>
      </c>
      <c r="C35" s="72">
        <f>F34</f>
        <v/>
      </c>
      <c r="D35" s="72">
        <f>MAX(0,C35*$B$22/12)</f>
        <v/>
      </c>
      <c r="E35" s="72">
        <f>MAX(0,$B$23-D35)</f>
        <v/>
      </c>
      <c r="F35" s="72">
        <f>MAX(0,C35-E35)</f>
        <v/>
      </c>
    </row>
    <row r="36">
      <c r="A36" s="34" t="n">
        <v>9</v>
      </c>
      <c r="B36" s="124" t="n">
        <v>46113</v>
      </c>
      <c r="C36" s="72">
        <f>F35</f>
        <v/>
      </c>
      <c r="D36" s="72">
        <f>MAX(0,C36*$B$22/12)</f>
        <v/>
      </c>
      <c r="E36" s="72">
        <f>MAX(0,$B$23-D36)</f>
        <v/>
      </c>
      <c r="F36" s="72">
        <f>MAX(0,C36-E36)</f>
        <v/>
      </c>
    </row>
    <row r="37">
      <c r="A37" s="34" t="n">
        <v>10</v>
      </c>
      <c r="B37" s="124" t="n">
        <v>46143</v>
      </c>
      <c r="C37" s="72">
        <f>F36</f>
        <v/>
      </c>
      <c r="D37" s="72">
        <f>MAX(0,C37*$B$22/12)</f>
        <v/>
      </c>
      <c r="E37" s="72">
        <f>MAX(0,$B$23-D37)</f>
        <v/>
      </c>
      <c r="F37" s="72">
        <f>MAX(0,C37-E37)</f>
        <v/>
      </c>
    </row>
    <row r="38">
      <c r="A38" s="34" t="n">
        <v>11</v>
      </c>
      <c r="B38" s="124" t="n">
        <v>46174</v>
      </c>
      <c r="C38" s="72">
        <f>F37</f>
        <v/>
      </c>
      <c r="D38" s="72">
        <f>MAX(0,C38*$B$22/12)</f>
        <v/>
      </c>
      <c r="E38" s="72">
        <f>MAX(0,$B$23-D38)</f>
        <v/>
      </c>
      <c r="F38" s="72">
        <f>MAX(0,C38-E38)</f>
        <v/>
      </c>
    </row>
    <row r="39">
      <c r="A39" s="34" t="n">
        <v>12</v>
      </c>
      <c r="B39" s="124" t="n">
        <v>46204</v>
      </c>
      <c r="C39" s="72">
        <f>F38</f>
        <v/>
      </c>
      <c r="D39" s="72">
        <f>MAX(0,C39*$B$22/12)</f>
        <v/>
      </c>
      <c r="E39" s="72">
        <f>MAX(0,$B$23-D39)</f>
        <v/>
      </c>
      <c r="F39" s="72">
        <f>MAX(0,C39-E39)</f>
        <v/>
      </c>
    </row>
    <row r="40">
      <c r="A40" s="34" t="n">
        <v>13</v>
      </c>
      <c r="B40" s="124" t="n">
        <v>46235</v>
      </c>
      <c r="C40" s="72">
        <f>F39</f>
        <v/>
      </c>
      <c r="D40" s="72">
        <f>MAX(0,C40*$B$22/12)</f>
        <v/>
      </c>
      <c r="E40" s="72">
        <f>MAX(0,$B$23-D40)</f>
        <v/>
      </c>
      <c r="F40" s="72">
        <f>MAX(0,C40-E40)</f>
        <v/>
      </c>
    </row>
    <row r="41">
      <c r="A41" s="34" t="n">
        <v>14</v>
      </c>
      <c r="B41" s="124" t="n">
        <v>46266</v>
      </c>
      <c r="C41" s="72">
        <f>F40</f>
        <v/>
      </c>
      <c r="D41" s="72">
        <f>MAX(0,C41*$B$22/12)</f>
        <v/>
      </c>
      <c r="E41" s="72">
        <f>MAX(0,$B$23-D41)</f>
        <v/>
      </c>
      <c r="F41" s="72">
        <f>MAX(0,C41-E41)</f>
        <v/>
      </c>
    </row>
    <row r="42">
      <c r="A42" s="34" t="n">
        <v>15</v>
      </c>
      <c r="B42" s="124" t="n">
        <v>46296</v>
      </c>
      <c r="C42" s="72">
        <f>F41</f>
        <v/>
      </c>
      <c r="D42" s="72">
        <f>MAX(0,C42*$B$22/12)</f>
        <v/>
      </c>
      <c r="E42" s="72">
        <f>MAX(0,$B$23-D42)</f>
        <v/>
      </c>
      <c r="F42" s="72">
        <f>MAX(0,C42-E42)</f>
        <v/>
      </c>
    </row>
    <row r="43">
      <c r="A43" s="34" t="n">
        <v>16</v>
      </c>
      <c r="B43" s="124" t="n">
        <v>46327</v>
      </c>
      <c r="C43" s="72">
        <f>F42</f>
        <v/>
      </c>
      <c r="D43" s="72">
        <f>MAX(0,C43*$B$22/12)</f>
        <v/>
      </c>
      <c r="E43" s="72">
        <f>MAX(0,$B$23-D43)</f>
        <v/>
      </c>
      <c r="F43" s="72">
        <f>MAX(0,C43-E43)</f>
        <v/>
      </c>
    </row>
    <row r="44">
      <c r="A44" s="34" t="n">
        <v>17</v>
      </c>
      <c r="B44" s="124" t="n">
        <v>46357</v>
      </c>
      <c r="C44" s="72">
        <f>F43</f>
        <v/>
      </c>
      <c r="D44" s="72">
        <f>MAX(0,C44*$B$22/12)</f>
        <v/>
      </c>
      <c r="E44" s="72">
        <f>MAX(0,$B$23-D44)</f>
        <v/>
      </c>
      <c r="F44" s="72">
        <f>MAX(0,C44-E44)</f>
        <v/>
      </c>
    </row>
    <row r="45">
      <c r="A45" s="34" t="n">
        <v>18</v>
      </c>
      <c r="B45" s="124" t="n">
        <v>46388</v>
      </c>
      <c r="C45" s="72">
        <f>F44</f>
        <v/>
      </c>
      <c r="D45" s="72">
        <f>MAX(0,C45*$B$22/12)</f>
        <v/>
      </c>
      <c r="E45" s="72">
        <f>MAX(0,$B$23-D45)</f>
        <v/>
      </c>
      <c r="F45" s="72">
        <f>MAX(0,C45-E45)</f>
        <v/>
      </c>
    </row>
    <row r="46">
      <c r="A46" s="34" t="n">
        <v>19</v>
      </c>
      <c r="B46" s="124" t="n">
        <v>46419</v>
      </c>
      <c r="C46" s="72">
        <f>F45</f>
        <v/>
      </c>
      <c r="D46" s="72">
        <f>MAX(0,C46*$B$22/12)</f>
        <v/>
      </c>
      <c r="E46" s="72">
        <f>MAX(0,$B$23-D46)</f>
        <v/>
      </c>
      <c r="F46" s="72">
        <f>MAX(0,C46-E46)</f>
        <v/>
      </c>
    </row>
    <row r="47">
      <c r="A47" s="34" t="n">
        <v>20</v>
      </c>
      <c r="B47" s="124" t="n">
        <v>46447</v>
      </c>
      <c r="C47" s="72">
        <f>F46</f>
        <v/>
      </c>
      <c r="D47" s="72">
        <f>MAX(0,C47*$B$22/12)</f>
        <v/>
      </c>
      <c r="E47" s="72">
        <f>MAX(0,$B$23-D47)</f>
        <v/>
      </c>
      <c r="F47" s="72">
        <f>MAX(0,C47-E47)</f>
        <v/>
      </c>
    </row>
    <row r="48">
      <c r="A48" s="34" t="n">
        <v>21</v>
      </c>
      <c r="B48" s="124" t="n">
        <v>46478</v>
      </c>
      <c r="C48" s="72">
        <f>F47</f>
        <v/>
      </c>
      <c r="D48" s="72">
        <f>MAX(0,C48*$B$22/12)</f>
        <v/>
      </c>
      <c r="E48" s="72">
        <f>MAX(0,$B$23-D48)</f>
        <v/>
      </c>
      <c r="F48" s="72">
        <f>MAX(0,C48-E48)</f>
        <v/>
      </c>
    </row>
    <row r="49">
      <c r="A49" s="34" t="n">
        <v>22</v>
      </c>
      <c r="B49" s="124" t="n">
        <v>46508</v>
      </c>
      <c r="C49" s="72">
        <f>F48</f>
        <v/>
      </c>
      <c r="D49" s="72">
        <f>MAX(0,C49*$B$22/12)</f>
        <v/>
      </c>
      <c r="E49" s="72">
        <f>MAX(0,$B$23-D49)</f>
        <v/>
      </c>
      <c r="F49" s="72">
        <f>MAX(0,C49-E49)</f>
        <v/>
      </c>
    </row>
    <row r="50">
      <c r="A50" s="34" t="n">
        <v>23</v>
      </c>
      <c r="B50" s="124" t="n">
        <v>46539</v>
      </c>
      <c r="C50" s="72">
        <f>F49</f>
        <v/>
      </c>
      <c r="D50" s="72">
        <f>MAX(0,C50*$B$22/12)</f>
        <v/>
      </c>
      <c r="E50" s="72">
        <f>MAX(0,$B$23-D50)</f>
        <v/>
      </c>
      <c r="F50" s="72">
        <f>MAX(0,C50-E50)</f>
        <v/>
      </c>
    </row>
    <row r="51">
      <c r="A51" s="34" t="n">
        <v>24</v>
      </c>
      <c r="B51" s="124" t="n">
        <v>46569</v>
      </c>
      <c r="C51" s="72">
        <f>F50</f>
        <v/>
      </c>
      <c r="D51" s="72">
        <f>MAX(0,C51*$B$22/12)</f>
        <v/>
      </c>
      <c r="E51" s="72">
        <f>MAX(0,$B$23-D51)</f>
        <v/>
      </c>
      <c r="F51" s="72">
        <f>MAX(0,C51-E51)</f>
        <v/>
      </c>
    </row>
    <row r="52">
      <c r="A52" s="41" t="inlineStr">
        <is>
          <t>TOTAL</t>
        </is>
      </c>
      <c r="B52" s="34" t="n"/>
      <c r="C52" s="34" t="n"/>
      <c r="D52" s="116">
        <f>SUM(D28:D51)</f>
        <v/>
      </c>
      <c r="E52" s="116">
        <f>SUM(E28:E51)</f>
        <v/>
      </c>
      <c r="F52" s="34" t="n"/>
    </row>
    <row r="55">
      <c r="A55" s="39" t="inlineStr">
        <is>
          <t>LOAN 2: RACE ST - AMORTIZATION SCHEDULE</t>
        </is>
      </c>
    </row>
    <row r="57">
      <c r="A57" t="inlineStr">
        <is>
          <t>Loan ID:</t>
        </is>
      </c>
      <c r="B57" t="inlineStr">
        <is>
          <t>(Not stated)</t>
        </is>
      </c>
    </row>
    <row r="58">
      <c r="A58" t="inlineStr">
        <is>
          <t>Property:</t>
        </is>
      </c>
      <c r="B58" t="inlineStr">
        <is>
          <t>Race St</t>
        </is>
      </c>
    </row>
    <row r="59">
      <c r="A59" t="inlineStr">
        <is>
          <t>Opening Bal:</t>
        </is>
      </c>
      <c r="B59" s="118">
        <f>C6</f>
        <v/>
      </c>
    </row>
    <row r="60">
      <c r="A60" t="inlineStr">
        <is>
          <t>Annual Rate:</t>
        </is>
      </c>
      <c r="B60" s="119">
        <f>D6</f>
        <v/>
      </c>
    </row>
    <row r="61">
      <c r="A61" t="inlineStr">
        <is>
          <t>Monthly Pmt:</t>
        </is>
      </c>
      <c r="B61" s="118">
        <f>E6</f>
        <v/>
      </c>
    </row>
    <row r="62">
      <c r="A62" t="inlineStr">
        <is>
          <t>Start Date:</t>
        </is>
      </c>
      <c r="B62" t="inlineStr">
        <is>
          <t>Aug-2025</t>
        </is>
      </c>
    </row>
    <row r="63">
      <c r="A63" t="inlineStr">
        <is>
          <t>Loan Type:</t>
        </is>
      </c>
      <c r="B63" t="inlineStr">
        <is>
          <t>Interest-Only Balloon</t>
        </is>
      </c>
    </row>
    <row r="65">
      <c r="A65" s="120" t="inlineStr">
        <is>
          <t>Month #</t>
        </is>
      </c>
      <c r="B65" s="120" t="inlineStr">
        <is>
          <t>Date</t>
        </is>
      </c>
      <c r="C65" s="120" t="inlineStr">
        <is>
          <t>Opening Balance</t>
        </is>
      </c>
      <c r="D65" s="120" t="inlineStr">
        <is>
          <t>Interest</t>
        </is>
      </c>
      <c r="E65" s="120" t="inlineStr">
        <is>
          <t>Principal</t>
        </is>
      </c>
      <c r="F65" s="120" t="inlineStr">
        <is>
          <t>Closing Balance</t>
        </is>
      </c>
    </row>
    <row r="66">
      <c r="A66" s="34" t="n">
        <v>1</v>
      </c>
      <c r="B66" s="124" t="n">
        <v>45870</v>
      </c>
      <c r="C66" s="72">
        <f>$B$59</f>
        <v/>
      </c>
      <c r="D66" s="72">
        <f>MAX(0,C66*$B$60/12)</f>
        <v/>
      </c>
      <c r="E66" s="72">
        <f>MAX(0,$B$61-D66)</f>
        <v/>
      </c>
      <c r="F66" s="72">
        <f>MAX(0,C66-E66)</f>
        <v/>
      </c>
    </row>
    <row r="67">
      <c r="A67" s="34" t="n">
        <v>2</v>
      </c>
      <c r="B67" s="124" t="n">
        <v>45901</v>
      </c>
      <c r="C67" s="72">
        <f>F66</f>
        <v/>
      </c>
      <c r="D67" s="72">
        <f>MAX(0,C67*$B$60/12)</f>
        <v/>
      </c>
      <c r="E67" s="72">
        <f>MAX(0,$B$61-D67)</f>
        <v/>
      </c>
      <c r="F67" s="72">
        <f>MAX(0,C67-E67)</f>
        <v/>
      </c>
    </row>
    <row r="68">
      <c r="A68" s="34" t="n">
        <v>3</v>
      </c>
      <c r="B68" s="124" t="n">
        <v>45931</v>
      </c>
      <c r="C68" s="72">
        <f>F67</f>
        <v/>
      </c>
      <c r="D68" s="72">
        <f>MAX(0,C68*$B$60/12)</f>
        <v/>
      </c>
      <c r="E68" s="72">
        <f>MAX(0,$B$61-D68)</f>
        <v/>
      </c>
      <c r="F68" s="72">
        <f>MAX(0,C68-E68)</f>
        <v/>
      </c>
    </row>
    <row r="69">
      <c r="A69" s="34" t="n">
        <v>4</v>
      </c>
      <c r="B69" s="124" t="n">
        <v>45962</v>
      </c>
      <c r="C69" s="72">
        <f>F68</f>
        <v/>
      </c>
      <c r="D69" s="72">
        <f>MAX(0,C69*$B$60/12)</f>
        <v/>
      </c>
      <c r="E69" s="72">
        <f>MAX(0,$B$61-D69)</f>
        <v/>
      </c>
      <c r="F69" s="72">
        <f>MAX(0,C69-E69)</f>
        <v/>
      </c>
    </row>
    <row r="70">
      <c r="A70" s="34" t="n">
        <v>5</v>
      </c>
      <c r="B70" s="124" t="n">
        <v>45992</v>
      </c>
      <c r="C70" s="72">
        <f>F69</f>
        <v/>
      </c>
      <c r="D70" s="72">
        <f>MAX(0,C70*$B$60/12)</f>
        <v/>
      </c>
      <c r="E70" s="72">
        <f>MAX(0,$B$61-D70)</f>
        <v/>
      </c>
      <c r="F70" s="72">
        <f>MAX(0,C70-E70)</f>
        <v/>
      </c>
    </row>
    <row r="71">
      <c r="A71" s="34" t="n">
        <v>6</v>
      </c>
      <c r="B71" s="124" t="n">
        <v>46023</v>
      </c>
      <c r="C71" s="72">
        <f>F70</f>
        <v/>
      </c>
      <c r="D71" s="72">
        <f>MAX(0,C71*$B$60/12)</f>
        <v/>
      </c>
      <c r="E71" s="72">
        <f>MAX(0,$B$61-D71)</f>
        <v/>
      </c>
      <c r="F71" s="72">
        <f>MAX(0,C71-E71)</f>
        <v/>
      </c>
    </row>
    <row r="72">
      <c r="A72" s="34" t="n">
        <v>7</v>
      </c>
      <c r="B72" s="124" t="n">
        <v>46054</v>
      </c>
      <c r="C72" s="72">
        <f>F71</f>
        <v/>
      </c>
      <c r="D72" s="72">
        <f>MAX(0,C72*$B$60/12)</f>
        <v/>
      </c>
      <c r="E72" s="72">
        <f>MAX(0,$B$61-D72)</f>
        <v/>
      </c>
      <c r="F72" s="72">
        <f>MAX(0,C72-E72)</f>
        <v/>
      </c>
    </row>
    <row r="73">
      <c r="A73" s="34" t="n">
        <v>8</v>
      </c>
      <c r="B73" s="124" t="n">
        <v>46082</v>
      </c>
      <c r="C73" s="72">
        <f>F72</f>
        <v/>
      </c>
      <c r="D73" s="72">
        <f>MAX(0,C73*$B$60/12)</f>
        <v/>
      </c>
      <c r="E73" s="72">
        <f>MAX(0,$B$61-D73)</f>
        <v/>
      </c>
      <c r="F73" s="72">
        <f>MAX(0,C73-E73)</f>
        <v/>
      </c>
    </row>
    <row r="74">
      <c r="A74" s="34" t="n">
        <v>9</v>
      </c>
      <c r="B74" s="124" t="n">
        <v>46113</v>
      </c>
      <c r="C74" s="72">
        <f>F73</f>
        <v/>
      </c>
      <c r="D74" s="72">
        <f>MAX(0,C74*$B$60/12)</f>
        <v/>
      </c>
      <c r="E74" s="72">
        <f>MAX(0,$B$61-D74)</f>
        <v/>
      </c>
      <c r="F74" s="72">
        <f>MAX(0,C74-E74)</f>
        <v/>
      </c>
    </row>
    <row r="75">
      <c r="A75" s="34" t="n">
        <v>10</v>
      </c>
      <c r="B75" s="124" t="n">
        <v>46143</v>
      </c>
      <c r="C75" s="72">
        <f>F74</f>
        <v/>
      </c>
      <c r="D75" s="72">
        <f>MAX(0,C75*$B$60/12)</f>
        <v/>
      </c>
      <c r="E75" s="72">
        <f>MAX(0,$B$61-D75)</f>
        <v/>
      </c>
      <c r="F75" s="72">
        <f>MAX(0,C75-E75)</f>
        <v/>
      </c>
    </row>
    <row r="76">
      <c r="A76" s="34" t="n">
        <v>11</v>
      </c>
      <c r="B76" s="124" t="n">
        <v>46174</v>
      </c>
      <c r="C76" s="72">
        <f>F75</f>
        <v/>
      </c>
      <c r="D76" s="72">
        <f>MAX(0,C76*$B$60/12)</f>
        <v/>
      </c>
      <c r="E76" s="72">
        <f>MAX(0,$B$61-D76)</f>
        <v/>
      </c>
      <c r="F76" s="72">
        <f>MAX(0,C76-E76)</f>
        <v/>
      </c>
    </row>
    <row r="77">
      <c r="A77" s="34" t="n">
        <v>12</v>
      </c>
      <c r="B77" s="124" t="n">
        <v>46204</v>
      </c>
      <c r="C77" s="72">
        <f>F76</f>
        <v/>
      </c>
      <c r="D77" s="72">
        <f>MAX(0,C77*$B$60/12)</f>
        <v/>
      </c>
      <c r="E77" s="72">
        <f>MAX(0,$B$61-D77)</f>
        <v/>
      </c>
      <c r="F77" s="72">
        <f>MAX(0,C77-E77)</f>
        <v/>
      </c>
    </row>
    <row r="78">
      <c r="A78" s="34" t="n">
        <v>13</v>
      </c>
      <c r="B78" s="124" t="n">
        <v>46235</v>
      </c>
      <c r="C78" s="72">
        <f>F77</f>
        <v/>
      </c>
      <c r="D78" s="72">
        <f>MAX(0,C78*$B$60/12)</f>
        <v/>
      </c>
      <c r="E78" s="72">
        <f>MAX(0,$B$61-D78)</f>
        <v/>
      </c>
      <c r="F78" s="72">
        <f>MAX(0,C78-E78)</f>
        <v/>
      </c>
    </row>
    <row r="79">
      <c r="A79" s="34" t="n">
        <v>14</v>
      </c>
      <c r="B79" s="124" t="n">
        <v>46266</v>
      </c>
      <c r="C79" s="72">
        <f>F78</f>
        <v/>
      </c>
      <c r="D79" s="72">
        <f>MAX(0,C79*$B$60/12)</f>
        <v/>
      </c>
      <c r="E79" s="72">
        <f>MAX(0,$B$61-D79)</f>
        <v/>
      </c>
      <c r="F79" s="72">
        <f>MAX(0,C79-E79)</f>
        <v/>
      </c>
    </row>
    <row r="80">
      <c r="A80" s="34" t="n">
        <v>15</v>
      </c>
      <c r="B80" s="124" t="n">
        <v>46296</v>
      </c>
      <c r="C80" s="72">
        <f>F79</f>
        <v/>
      </c>
      <c r="D80" s="72">
        <f>MAX(0,C80*$B$60/12)</f>
        <v/>
      </c>
      <c r="E80" s="72">
        <f>MAX(0,$B$61-D80)</f>
        <v/>
      </c>
      <c r="F80" s="72">
        <f>MAX(0,C80-E80)</f>
        <v/>
      </c>
    </row>
    <row r="81">
      <c r="A81" s="34" t="n">
        <v>16</v>
      </c>
      <c r="B81" s="124" t="n">
        <v>46327</v>
      </c>
      <c r="C81" s="72">
        <f>F80</f>
        <v/>
      </c>
      <c r="D81" s="72">
        <f>MAX(0,C81*$B$60/12)</f>
        <v/>
      </c>
      <c r="E81" s="72">
        <f>MAX(0,$B$61-D81)</f>
        <v/>
      </c>
      <c r="F81" s="72">
        <f>MAX(0,C81-E81)</f>
        <v/>
      </c>
    </row>
    <row r="82">
      <c r="A82" s="34" t="n">
        <v>17</v>
      </c>
      <c r="B82" s="124" t="n">
        <v>46357</v>
      </c>
      <c r="C82" s="72">
        <f>F81</f>
        <v/>
      </c>
      <c r="D82" s="72">
        <f>MAX(0,C82*$B$60/12)</f>
        <v/>
      </c>
      <c r="E82" s="72">
        <f>MAX(0,$B$61-D82)</f>
        <v/>
      </c>
      <c r="F82" s="72">
        <f>MAX(0,C82-E82)</f>
        <v/>
      </c>
    </row>
    <row r="83">
      <c r="A83" s="34" t="n">
        <v>18</v>
      </c>
      <c r="B83" s="124" t="n">
        <v>46388</v>
      </c>
      <c r="C83" s="72">
        <f>F82</f>
        <v/>
      </c>
      <c r="D83" s="72">
        <f>MAX(0,C83*$B$60/12)</f>
        <v/>
      </c>
      <c r="E83" s="72">
        <f>MAX(0,$B$61-D83)</f>
        <v/>
      </c>
      <c r="F83" s="72">
        <f>MAX(0,C83-E83)</f>
        <v/>
      </c>
    </row>
    <row r="84">
      <c r="A84" s="34" t="n">
        <v>19</v>
      </c>
      <c r="B84" s="124" t="n">
        <v>46419</v>
      </c>
      <c r="C84" s="72">
        <f>F83</f>
        <v/>
      </c>
      <c r="D84" s="72">
        <f>MAX(0,C84*$B$60/12)</f>
        <v/>
      </c>
      <c r="E84" s="72">
        <f>MAX(0,$B$61-D84)</f>
        <v/>
      </c>
      <c r="F84" s="72">
        <f>MAX(0,C84-E84)</f>
        <v/>
      </c>
    </row>
    <row r="85">
      <c r="A85" s="34" t="n">
        <v>20</v>
      </c>
      <c r="B85" s="124" t="n">
        <v>46447</v>
      </c>
      <c r="C85" s="72">
        <f>F84</f>
        <v/>
      </c>
      <c r="D85" s="72">
        <f>MAX(0,C85*$B$60/12)</f>
        <v/>
      </c>
      <c r="E85" s="72">
        <f>MAX(0,$B$61-D85)</f>
        <v/>
      </c>
      <c r="F85" s="72">
        <f>MAX(0,C85-E85)</f>
        <v/>
      </c>
    </row>
    <row r="86">
      <c r="A86" s="34" t="n">
        <v>21</v>
      </c>
      <c r="B86" s="124" t="n">
        <v>46478</v>
      </c>
      <c r="C86" s="72">
        <f>F85</f>
        <v/>
      </c>
      <c r="D86" s="72">
        <f>MAX(0,C86*$B$60/12)</f>
        <v/>
      </c>
      <c r="E86" s="72">
        <f>MAX(0,$B$61-D86)</f>
        <v/>
      </c>
      <c r="F86" s="72">
        <f>MAX(0,C86-E86)</f>
        <v/>
      </c>
    </row>
    <row r="87">
      <c r="A87" s="34" t="n">
        <v>22</v>
      </c>
      <c r="B87" s="124" t="n">
        <v>46508</v>
      </c>
      <c r="C87" s="72">
        <f>F86</f>
        <v/>
      </c>
      <c r="D87" s="72">
        <f>MAX(0,C87*$B$60/12)</f>
        <v/>
      </c>
      <c r="E87" s="72">
        <f>MAX(0,$B$61-D87)</f>
        <v/>
      </c>
      <c r="F87" s="72">
        <f>MAX(0,C87-E87)</f>
        <v/>
      </c>
    </row>
    <row r="88">
      <c r="A88" s="34" t="n">
        <v>23</v>
      </c>
      <c r="B88" s="124" t="n">
        <v>46539</v>
      </c>
      <c r="C88" s="72">
        <f>F87</f>
        <v/>
      </c>
      <c r="D88" s="72">
        <f>MAX(0,C88*$B$60/12)</f>
        <v/>
      </c>
      <c r="E88" s="72">
        <f>MAX(0,$B$61-D88)</f>
        <v/>
      </c>
      <c r="F88" s="72">
        <f>MAX(0,C88-E88)</f>
        <v/>
      </c>
    </row>
    <row r="89">
      <c r="A89" s="34" t="n">
        <v>24</v>
      </c>
      <c r="B89" s="124" t="n">
        <v>46569</v>
      </c>
      <c r="C89" s="72">
        <f>F88</f>
        <v/>
      </c>
      <c r="D89" s="72">
        <f>MAX(0,C89*$B$60/12)</f>
        <v/>
      </c>
      <c r="E89" s="72">
        <f>MAX(0,$B$61-D89)</f>
        <v/>
      </c>
      <c r="F89" s="72">
        <f>MAX(0,C89-E89)</f>
        <v/>
      </c>
    </row>
    <row r="90">
      <c r="A90" s="41" t="inlineStr">
        <is>
          <t>TOTAL</t>
        </is>
      </c>
      <c r="B90" s="34" t="n"/>
      <c r="C90" s="34" t="n"/>
      <c r="D90" s="116">
        <f>SUM(D66:D89)</f>
        <v/>
      </c>
      <c r="E90" s="116">
        <f>SUM(E66:E89)</f>
        <v/>
      </c>
      <c r="F90" s="34" t="n"/>
    </row>
    <row r="93">
      <c r="A93" s="39" t="inlineStr">
        <is>
          <t>COMBINED WIN WIN LOAN SUMMARY</t>
        </is>
      </c>
    </row>
    <row r="95">
      <c r="A95" t="inlineStr">
        <is>
          <t>Total Opening Balance:</t>
        </is>
      </c>
      <c r="C95" s="122">
        <f>C7</f>
        <v/>
      </c>
    </row>
    <row r="96">
      <c r="A96" t="inlineStr">
        <is>
          <t>Total Monthly Payment:</t>
        </is>
      </c>
      <c r="C96" s="122">
        <f>E7</f>
        <v/>
      </c>
    </row>
    <row r="97">
      <c r="A97" t="inlineStr">
        <is>
          <t>Annual Interest Expense:</t>
        </is>
      </c>
      <c r="C97" s="25">
        <f>E7*12</f>
        <v/>
      </c>
    </row>
    <row r="98">
      <c r="A98" t="inlineStr">
        <is>
          <t>Total 24-Month Interest:</t>
        </is>
      </c>
      <c r="C98" s="25">
        <f>D52+D90</f>
        <v/>
      </c>
    </row>
    <row r="99">
      <c r="A99" t="inlineStr">
        <is>
          <t>Total 24-Month Principal:</t>
        </is>
      </c>
      <c r="C99" s="25">
        <f>E52+E90</f>
        <v/>
      </c>
    </row>
    <row r="100">
      <c r="A100" t="inlineStr">
        <is>
          <t>Ending Balance (24 mo):</t>
        </is>
      </c>
      <c r="C100" s="122">
        <f>C7</f>
        <v/>
      </c>
    </row>
    <row r="102">
      <c r="A102" t="inlineStr">
        <is>
          <t>Principal Check (must be 0):</t>
        </is>
      </c>
      <c r="C102" s="123">
        <f>E52+E90</f>
        <v/>
      </c>
    </row>
  </sheetData>
  <mergeCells count="10">
    <mergeCell ref="A13:G13"/>
    <mergeCell ref="A14:G14"/>
    <mergeCell ref="A1:G1"/>
    <mergeCell ref="A17:G17"/>
    <mergeCell ref="A9:G9"/>
    <mergeCell ref="A93:F93"/>
    <mergeCell ref="A55:G55"/>
    <mergeCell ref="A12:G12"/>
    <mergeCell ref="A11:G11"/>
    <mergeCell ref="A10:G10"/>
  </mergeCells>
  <pageMargins left="0.75" right="0.75" top="1" bottom="1" header="0.5" footer="0.5"/>
  <legacyDrawing xmlns:r="http://schemas.openxmlformats.org/officeDocument/2006/relationships" r:id="anysvml"/>
</worksheet>
</file>

<file path=xl/worksheets/sheet21.xml><?xml version="1.0" encoding="utf-8"?>
<worksheet xmlns="http://schemas.openxmlformats.org/spreadsheetml/2006/main">
  <sheetPr>
    <tabColor rgb="00808080"/>
    <outlinePr summaryBelow="1" summaryRight="1"/>
    <pageSetUpPr/>
  </sheetPr>
  <dimension ref="A1:F233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8" customWidth="1" min="3" max="3"/>
    <col width="14" customWidth="1" min="4" max="4"/>
    <col width="14" customWidth="1" min="5" max="5"/>
    <col width="18" customWidth="1" min="6" max="6"/>
  </cols>
  <sheetData>
    <row r="1">
      <c r="A1" s="65" t="inlineStr">
        <is>
          <t>ATLANTIC UNION EQUIPMENT FINANCE</t>
        </is>
      </c>
    </row>
    <row r="2">
      <c r="A2" s="125" t="inlineStr">
        <is>
          <t>Hidden Loan Amortization Schedules</t>
        </is>
      </c>
    </row>
    <row r="3">
      <c r="A3" t="inlineStr">
        <is>
          <t>As of: November 30, 2025</t>
        </is>
      </c>
    </row>
    <row r="5">
      <c r="A5" s="15" t="inlineStr">
        <is>
          <t>LENDER SUMMARY</t>
        </is>
      </c>
    </row>
    <row r="6">
      <c r="B6" t="inlineStr">
        <is>
          <t>Number of Loans</t>
        </is>
      </c>
      <c r="C6" t="n">
        <v>3</v>
      </c>
    </row>
    <row r="7">
      <c r="B7" t="inlineStr">
        <is>
          <t>Total Remaining Balance</t>
        </is>
      </c>
      <c r="C7" s="3" t="n">
        <v>2234738</v>
      </c>
    </row>
    <row r="8">
      <c r="B8" t="inlineStr">
        <is>
          <t>Total Monthly Payment</t>
        </is>
      </c>
      <c r="C8" s="3" t="n">
        <v>51695.05</v>
      </c>
    </row>
    <row r="10">
      <c r="A10" s="69" t="inlineStr">
        <is>
          <t>LOAN 1: 7 T680 Sleepers (Aug 2023)</t>
        </is>
      </c>
    </row>
    <row r="11">
      <c r="B11" t="inlineStr">
        <is>
          <t>Loan ID</t>
        </is>
      </c>
      <c r="C11" s="2" t="inlineStr">
        <is>
          <t>05-2987-000-000-00</t>
        </is>
      </c>
    </row>
    <row r="12">
      <c r="B12" t="inlineStr">
        <is>
          <t>Description</t>
        </is>
      </c>
      <c r="C12" s="2" t="inlineStr">
        <is>
          <t>7 T680 Sleepers (Aug 2023)</t>
        </is>
      </c>
    </row>
    <row r="13">
      <c r="B13" t="inlineStr">
        <is>
          <t>Loan Type</t>
        </is>
      </c>
      <c r="C13" s="2" t="inlineStr">
        <is>
          <t>AMORTIZING</t>
        </is>
      </c>
    </row>
    <row r="14">
      <c r="B14" t="inlineStr">
        <is>
          <t>Use</t>
        </is>
      </c>
      <c r="C14" s="2" t="inlineStr">
        <is>
          <t>Equipment (Semi trucks)</t>
        </is>
      </c>
    </row>
    <row r="15">
      <c r="B15" t="inlineStr">
        <is>
          <t>Origination Date</t>
        </is>
      </c>
      <c r="C15" s="2" t="inlineStr">
        <is>
          <t>2023-08-15</t>
        </is>
      </c>
    </row>
    <row r="16">
      <c r="B16" t="inlineStr">
        <is>
          <t>Maturity Date</t>
        </is>
      </c>
      <c r="C16" s="2" t="inlineStr">
        <is>
          <t>2029-02-15</t>
        </is>
      </c>
    </row>
    <row r="17">
      <c r="B17" t="inlineStr">
        <is>
          <t>Original Balance</t>
        </is>
      </c>
      <c r="C17" s="3" t="n">
        <v>1254764</v>
      </c>
    </row>
    <row r="18">
      <c r="B18" t="inlineStr">
        <is>
          <t>Remaining Balance (Nov 30, 2025)</t>
        </is>
      </c>
      <c r="C18" s="3" t="n">
        <v>793643</v>
      </c>
    </row>
    <row r="19">
      <c r="B19" t="inlineStr">
        <is>
          <t>Annual Interest Rate</t>
        </is>
      </c>
      <c r="C19" s="4" t="n">
        <v>0.06370000000000001</v>
      </c>
    </row>
    <row r="20">
      <c r="B20" t="inlineStr">
        <is>
          <t>Monthly Payment</t>
        </is>
      </c>
      <c r="C20" s="3" t="n">
        <v>22585.9</v>
      </c>
    </row>
    <row r="22">
      <c r="A22" s="17" t="inlineStr">
        <is>
          <t>AI ANALYSIS</t>
        </is>
      </c>
    </row>
    <row r="23">
      <c r="B23" s="6" t="inlineStr">
        <is>
          <t>Loan Classification: Standard amortizing equipment loan</t>
        </is>
      </c>
    </row>
    <row r="24">
      <c r="B24" s="6" t="inlineStr">
        <is>
          <t>Equipment: Kenworth T680 trucks / Trailers for freight operations</t>
        </is>
      </c>
    </row>
    <row r="25">
      <c r="B25" s="6" t="inlineStr">
        <is>
          <t>Lender: Atlantic Union Equipment Finance - regional equipment financing</t>
        </is>
      </c>
    </row>
    <row r="26">
      <c r="B26" s="6" t="inlineStr">
        <is>
          <t>Payment Structure: Fixed monthly P&amp;I payments until maturity</t>
        </is>
      </c>
    </row>
    <row r="27">
      <c r="B27" s="6" t="inlineStr">
        <is>
          <t>Collateral: Equipment financed (trucks/trailers)</t>
        </is>
      </c>
    </row>
    <row r="29">
      <c r="A29" s="15" t="inlineStr">
        <is>
          <t>AMORTIZATION SCHEDULE</t>
        </is>
      </c>
    </row>
    <row r="30">
      <c r="A30" s="126" t="inlineStr">
        <is>
          <t>Month #</t>
        </is>
      </c>
      <c r="B30" s="126" t="inlineStr">
        <is>
          <t>Date</t>
        </is>
      </c>
      <c r="C30" s="126" t="inlineStr">
        <is>
          <t>Opening Balance</t>
        </is>
      </c>
      <c r="D30" s="126" t="inlineStr">
        <is>
          <t>Interest</t>
        </is>
      </c>
      <c r="E30" s="126" t="inlineStr">
        <is>
          <t>Principal</t>
        </is>
      </c>
      <c r="F30" s="126" t="inlineStr">
        <is>
          <t>Closing Balance</t>
        </is>
      </c>
    </row>
    <row r="31">
      <c r="A31" s="34" t="n">
        <v>27</v>
      </c>
      <c r="B31" s="34" t="inlineStr">
        <is>
          <t>2025-11-30</t>
        </is>
      </c>
      <c r="C31" s="86">
        <f>C18</f>
        <v/>
      </c>
      <c r="D31" s="11">
        <f>MAX(0,C31*$C$19/12)</f>
        <v/>
      </c>
      <c r="E31" s="11">
        <f>MAX(0,MIN(C31,$C$20-D31))</f>
        <v/>
      </c>
      <c r="F31" s="11">
        <f>MAX(0,C31-E31)</f>
        <v/>
      </c>
    </row>
    <row r="32">
      <c r="A32" s="34" t="n">
        <v>28</v>
      </c>
      <c r="B32" s="34" t="inlineStr">
        <is>
          <t>2025-12-30</t>
        </is>
      </c>
      <c r="C32" s="86">
        <f>F31</f>
        <v/>
      </c>
      <c r="D32" s="11">
        <f>MAX(0,C32*$C$19/12)</f>
        <v/>
      </c>
      <c r="E32" s="11">
        <f>MAX(0,MIN(C32,$C$20-D32))</f>
        <v/>
      </c>
      <c r="F32" s="11">
        <f>MAX(0,C32-E32)</f>
        <v/>
      </c>
    </row>
    <row r="33">
      <c r="A33" s="34" t="n">
        <v>29</v>
      </c>
      <c r="B33" s="34" t="inlineStr">
        <is>
          <t>2026-01-30</t>
        </is>
      </c>
      <c r="C33" s="86">
        <f>F32</f>
        <v/>
      </c>
      <c r="D33" s="11">
        <f>MAX(0,C33*$C$19/12)</f>
        <v/>
      </c>
      <c r="E33" s="11">
        <f>MAX(0,MIN(C33,$C$20-D33))</f>
        <v/>
      </c>
      <c r="F33" s="11">
        <f>MAX(0,C33-E33)</f>
        <v/>
      </c>
    </row>
    <row r="34">
      <c r="A34" s="34" t="n">
        <v>30</v>
      </c>
      <c r="B34" s="34" t="inlineStr">
        <is>
          <t>2026-02-28</t>
        </is>
      </c>
      <c r="C34" s="86">
        <f>F33</f>
        <v/>
      </c>
      <c r="D34" s="11">
        <f>MAX(0,C34*$C$19/12)</f>
        <v/>
      </c>
      <c r="E34" s="11">
        <f>MAX(0,MIN(C34,$C$20-D34))</f>
        <v/>
      </c>
      <c r="F34" s="11">
        <f>MAX(0,C34-E34)</f>
        <v/>
      </c>
    </row>
    <row r="35">
      <c r="A35" s="34" t="n">
        <v>31</v>
      </c>
      <c r="B35" s="34" t="inlineStr">
        <is>
          <t>2026-03-30</t>
        </is>
      </c>
      <c r="C35" s="86">
        <f>F34</f>
        <v/>
      </c>
      <c r="D35" s="11">
        <f>MAX(0,C35*$C$19/12)</f>
        <v/>
      </c>
      <c r="E35" s="11">
        <f>MAX(0,MIN(C35,$C$20-D35))</f>
        <v/>
      </c>
      <c r="F35" s="11">
        <f>MAX(0,C35-E35)</f>
        <v/>
      </c>
    </row>
    <row r="36">
      <c r="A36" s="34" t="n">
        <v>32</v>
      </c>
      <c r="B36" s="34" t="inlineStr">
        <is>
          <t>2026-04-30</t>
        </is>
      </c>
      <c r="C36" s="86">
        <f>F35</f>
        <v/>
      </c>
      <c r="D36" s="11">
        <f>MAX(0,C36*$C$19/12)</f>
        <v/>
      </c>
      <c r="E36" s="11">
        <f>MAX(0,MIN(C36,$C$20-D36))</f>
        <v/>
      </c>
      <c r="F36" s="11">
        <f>MAX(0,C36-E36)</f>
        <v/>
      </c>
    </row>
    <row r="37">
      <c r="A37" s="34" t="n">
        <v>33</v>
      </c>
      <c r="B37" s="34" t="inlineStr">
        <is>
          <t>2026-05-30</t>
        </is>
      </c>
      <c r="C37" s="86">
        <f>F36</f>
        <v/>
      </c>
      <c r="D37" s="11">
        <f>MAX(0,C37*$C$19/12)</f>
        <v/>
      </c>
      <c r="E37" s="11">
        <f>MAX(0,MIN(C37,$C$20-D37))</f>
        <v/>
      </c>
      <c r="F37" s="11">
        <f>MAX(0,C37-E37)</f>
        <v/>
      </c>
    </row>
    <row r="38">
      <c r="A38" s="34" t="n">
        <v>34</v>
      </c>
      <c r="B38" s="34" t="inlineStr">
        <is>
          <t>2026-06-30</t>
        </is>
      </c>
      <c r="C38" s="86">
        <f>F37</f>
        <v/>
      </c>
      <c r="D38" s="11">
        <f>MAX(0,C38*$C$19/12)</f>
        <v/>
      </c>
      <c r="E38" s="11">
        <f>MAX(0,MIN(C38,$C$20-D38))</f>
        <v/>
      </c>
      <c r="F38" s="11">
        <f>MAX(0,C38-E38)</f>
        <v/>
      </c>
    </row>
    <row r="39">
      <c r="A39" s="34" t="n">
        <v>35</v>
      </c>
      <c r="B39" s="34" t="inlineStr">
        <is>
          <t>2026-07-30</t>
        </is>
      </c>
      <c r="C39" s="86">
        <f>F38</f>
        <v/>
      </c>
      <c r="D39" s="11">
        <f>MAX(0,C39*$C$19/12)</f>
        <v/>
      </c>
      <c r="E39" s="11">
        <f>MAX(0,MIN(C39,$C$20-D39))</f>
        <v/>
      </c>
      <c r="F39" s="11">
        <f>MAX(0,C39-E39)</f>
        <v/>
      </c>
    </row>
    <row r="40">
      <c r="A40" s="34" t="n">
        <v>36</v>
      </c>
      <c r="B40" s="34" t="inlineStr">
        <is>
          <t>2026-08-30</t>
        </is>
      </c>
      <c r="C40" s="86">
        <f>F39</f>
        <v/>
      </c>
      <c r="D40" s="11">
        <f>MAX(0,C40*$C$19/12)</f>
        <v/>
      </c>
      <c r="E40" s="11">
        <f>MAX(0,MIN(C40,$C$20-D40))</f>
        <v/>
      </c>
      <c r="F40" s="11">
        <f>MAX(0,C40-E40)</f>
        <v/>
      </c>
    </row>
    <row r="41">
      <c r="A41" s="34" t="n">
        <v>37</v>
      </c>
      <c r="B41" s="34" t="inlineStr">
        <is>
          <t>2026-09-30</t>
        </is>
      </c>
      <c r="C41" s="86">
        <f>F40</f>
        <v/>
      </c>
      <c r="D41" s="11">
        <f>MAX(0,C41*$C$19/12)</f>
        <v/>
      </c>
      <c r="E41" s="11">
        <f>MAX(0,MIN(C41,$C$20-D41))</f>
        <v/>
      </c>
      <c r="F41" s="11">
        <f>MAX(0,C41-E41)</f>
        <v/>
      </c>
    </row>
    <row r="42">
      <c r="A42" s="34" t="n">
        <v>38</v>
      </c>
      <c r="B42" s="34" t="inlineStr">
        <is>
          <t>2026-10-30</t>
        </is>
      </c>
      <c r="C42" s="86">
        <f>F41</f>
        <v/>
      </c>
      <c r="D42" s="11">
        <f>MAX(0,C42*$C$19/12)</f>
        <v/>
      </c>
      <c r="E42" s="11">
        <f>MAX(0,MIN(C42,$C$20-D42))</f>
        <v/>
      </c>
      <c r="F42" s="11">
        <f>MAX(0,C42-E42)</f>
        <v/>
      </c>
    </row>
    <row r="43">
      <c r="A43" s="34" t="n">
        <v>39</v>
      </c>
      <c r="B43" s="34" t="inlineStr">
        <is>
          <t>2026-11-30</t>
        </is>
      </c>
      <c r="C43" s="86">
        <f>F42</f>
        <v/>
      </c>
      <c r="D43" s="11">
        <f>MAX(0,C43*$C$19/12)</f>
        <v/>
      </c>
      <c r="E43" s="11">
        <f>MAX(0,MIN(C43,$C$20-D43))</f>
        <v/>
      </c>
      <c r="F43" s="11">
        <f>MAX(0,C43-E43)</f>
        <v/>
      </c>
    </row>
    <row r="44">
      <c r="A44" s="34" t="n">
        <v>40</v>
      </c>
      <c r="B44" s="34" t="inlineStr">
        <is>
          <t>2026-12-30</t>
        </is>
      </c>
      <c r="C44" s="86">
        <f>F43</f>
        <v/>
      </c>
      <c r="D44" s="11">
        <f>MAX(0,C44*$C$19/12)</f>
        <v/>
      </c>
      <c r="E44" s="11">
        <f>MAX(0,MIN(C44,$C$20-D44))</f>
        <v/>
      </c>
      <c r="F44" s="11">
        <f>MAX(0,C44-E44)</f>
        <v/>
      </c>
    </row>
    <row r="45">
      <c r="A45" s="34" t="n">
        <v>41</v>
      </c>
      <c r="B45" s="34" t="inlineStr">
        <is>
          <t>2027-01-30</t>
        </is>
      </c>
      <c r="C45" s="86">
        <f>F44</f>
        <v/>
      </c>
      <c r="D45" s="11">
        <f>MAX(0,C45*$C$19/12)</f>
        <v/>
      </c>
      <c r="E45" s="11">
        <f>MAX(0,MIN(C45,$C$20-D45))</f>
        <v/>
      </c>
      <c r="F45" s="11">
        <f>MAX(0,C45-E45)</f>
        <v/>
      </c>
    </row>
    <row r="46">
      <c r="A46" s="34" t="n">
        <v>42</v>
      </c>
      <c r="B46" s="34" t="inlineStr">
        <is>
          <t>2027-02-28</t>
        </is>
      </c>
      <c r="C46" s="86">
        <f>F45</f>
        <v/>
      </c>
      <c r="D46" s="11">
        <f>MAX(0,C46*$C$19/12)</f>
        <v/>
      </c>
      <c r="E46" s="11">
        <f>MAX(0,MIN(C46,$C$20-D46))</f>
        <v/>
      </c>
      <c r="F46" s="11">
        <f>MAX(0,C46-E46)</f>
        <v/>
      </c>
    </row>
    <row r="47">
      <c r="A47" s="34" t="n">
        <v>43</v>
      </c>
      <c r="B47" s="34" t="inlineStr">
        <is>
          <t>2027-03-30</t>
        </is>
      </c>
      <c r="C47" s="86">
        <f>F46</f>
        <v/>
      </c>
      <c r="D47" s="11">
        <f>MAX(0,C47*$C$19/12)</f>
        <v/>
      </c>
      <c r="E47" s="11">
        <f>MAX(0,MIN(C47,$C$20-D47))</f>
        <v/>
      </c>
      <c r="F47" s="11">
        <f>MAX(0,C47-E47)</f>
        <v/>
      </c>
    </row>
    <row r="48">
      <c r="A48" s="34" t="n">
        <v>44</v>
      </c>
      <c r="B48" s="34" t="inlineStr">
        <is>
          <t>2027-04-30</t>
        </is>
      </c>
      <c r="C48" s="86">
        <f>F47</f>
        <v/>
      </c>
      <c r="D48" s="11">
        <f>MAX(0,C48*$C$19/12)</f>
        <v/>
      </c>
      <c r="E48" s="11">
        <f>MAX(0,MIN(C48,$C$20-D48))</f>
        <v/>
      </c>
      <c r="F48" s="11">
        <f>MAX(0,C48-E48)</f>
        <v/>
      </c>
    </row>
    <row r="49">
      <c r="A49" s="34" t="n">
        <v>45</v>
      </c>
      <c r="B49" s="34" t="inlineStr">
        <is>
          <t>2027-05-30</t>
        </is>
      </c>
      <c r="C49" s="86">
        <f>F48</f>
        <v/>
      </c>
      <c r="D49" s="11">
        <f>MAX(0,C49*$C$19/12)</f>
        <v/>
      </c>
      <c r="E49" s="11">
        <f>MAX(0,MIN(C49,$C$20-D49))</f>
        <v/>
      </c>
      <c r="F49" s="11">
        <f>MAX(0,C49-E49)</f>
        <v/>
      </c>
    </row>
    <row r="50">
      <c r="A50" s="34" t="n">
        <v>46</v>
      </c>
      <c r="B50" s="34" t="inlineStr">
        <is>
          <t>2027-06-30</t>
        </is>
      </c>
      <c r="C50" s="86">
        <f>F49</f>
        <v/>
      </c>
      <c r="D50" s="11">
        <f>MAX(0,C50*$C$19/12)</f>
        <v/>
      </c>
      <c r="E50" s="11">
        <f>MAX(0,MIN(C50,$C$20-D50))</f>
        <v/>
      </c>
      <c r="F50" s="11">
        <f>MAX(0,C50-E50)</f>
        <v/>
      </c>
    </row>
    <row r="51">
      <c r="A51" s="34" t="n">
        <v>47</v>
      </c>
      <c r="B51" s="34" t="inlineStr">
        <is>
          <t>2027-07-30</t>
        </is>
      </c>
      <c r="C51" s="86">
        <f>F50</f>
        <v/>
      </c>
      <c r="D51" s="11">
        <f>MAX(0,C51*$C$19/12)</f>
        <v/>
      </c>
      <c r="E51" s="11">
        <f>MAX(0,MIN(C51,$C$20-D51))</f>
        <v/>
      </c>
      <c r="F51" s="11">
        <f>MAX(0,C51-E51)</f>
        <v/>
      </c>
    </row>
    <row r="52">
      <c r="A52" s="34" t="n">
        <v>48</v>
      </c>
      <c r="B52" s="34" t="inlineStr">
        <is>
          <t>2027-08-30</t>
        </is>
      </c>
      <c r="C52" s="86">
        <f>F51</f>
        <v/>
      </c>
      <c r="D52" s="11">
        <f>MAX(0,C52*$C$19/12)</f>
        <v/>
      </c>
      <c r="E52" s="11">
        <f>MAX(0,MIN(C52,$C$20-D52))</f>
        <v/>
      </c>
      <c r="F52" s="11">
        <f>MAX(0,C52-E52)</f>
        <v/>
      </c>
    </row>
    <row r="53">
      <c r="A53" s="34" t="n">
        <v>49</v>
      </c>
      <c r="B53" s="34" t="inlineStr">
        <is>
          <t>2027-09-30</t>
        </is>
      </c>
      <c r="C53" s="86">
        <f>F52</f>
        <v/>
      </c>
      <c r="D53" s="11">
        <f>MAX(0,C53*$C$19/12)</f>
        <v/>
      </c>
      <c r="E53" s="11">
        <f>MAX(0,MIN(C53,$C$20-D53))</f>
        <v/>
      </c>
      <c r="F53" s="11">
        <f>MAX(0,C53-E53)</f>
        <v/>
      </c>
    </row>
    <row r="54">
      <c r="A54" s="34" t="n">
        <v>50</v>
      </c>
      <c r="B54" s="34" t="inlineStr">
        <is>
          <t>2027-10-30</t>
        </is>
      </c>
      <c r="C54" s="86">
        <f>F53</f>
        <v/>
      </c>
      <c r="D54" s="11">
        <f>MAX(0,C54*$C$19/12)</f>
        <v/>
      </c>
      <c r="E54" s="11">
        <f>MAX(0,MIN(C54,$C$20-D54))</f>
        <v/>
      </c>
      <c r="F54" s="11">
        <f>MAX(0,C54-E54)</f>
        <v/>
      </c>
    </row>
    <row r="55">
      <c r="A55" s="34" t="n">
        <v>51</v>
      </c>
      <c r="B55" s="34" t="inlineStr">
        <is>
          <t>2027-11-30</t>
        </is>
      </c>
      <c r="C55" s="86">
        <f>F54</f>
        <v/>
      </c>
      <c r="D55" s="11">
        <f>MAX(0,C55*$C$19/12)</f>
        <v/>
      </c>
      <c r="E55" s="11">
        <f>MAX(0,MIN(C55,$C$20-D55))</f>
        <v/>
      </c>
      <c r="F55" s="11">
        <f>MAX(0,C55-E55)</f>
        <v/>
      </c>
    </row>
    <row r="56">
      <c r="A56" s="34" t="n">
        <v>52</v>
      </c>
      <c r="B56" s="34" t="inlineStr">
        <is>
          <t>2027-12-30</t>
        </is>
      </c>
      <c r="C56" s="86">
        <f>F55</f>
        <v/>
      </c>
      <c r="D56" s="11">
        <f>MAX(0,C56*$C$19/12)</f>
        <v/>
      </c>
      <c r="E56" s="11">
        <f>MAX(0,MIN(C56,$C$20-D56))</f>
        <v/>
      </c>
      <c r="F56" s="11">
        <f>MAX(0,C56-E56)</f>
        <v/>
      </c>
    </row>
    <row r="57">
      <c r="A57" s="34" t="n">
        <v>53</v>
      </c>
      <c r="B57" s="34" t="inlineStr">
        <is>
          <t>2028-01-30</t>
        </is>
      </c>
      <c r="C57" s="86">
        <f>F56</f>
        <v/>
      </c>
      <c r="D57" s="11">
        <f>MAX(0,C57*$C$19/12)</f>
        <v/>
      </c>
      <c r="E57" s="11">
        <f>MAX(0,MIN(C57,$C$20-D57))</f>
        <v/>
      </c>
      <c r="F57" s="11">
        <f>MAX(0,C57-E57)</f>
        <v/>
      </c>
    </row>
    <row r="58">
      <c r="A58" s="34" t="n">
        <v>54</v>
      </c>
      <c r="B58" s="34" t="inlineStr">
        <is>
          <t>2028-02-29</t>
        </is>
      </c>
      <c r="C58" s="86">
        <f>F57</f>
        <v/>
      </c>
      <c r="D58" s="11">
        <f>MAX(0,C58*$C$19/12)</f>
        <v/>
      </c>
      <c r="E58" s="11">
        <f>MAX(0,MIN(C58,$C$20-D58))</f>
        <v/>
      </c>
      <c r="F58" s="11">
        <f>MAX(0,C58-E58)</f>
        <v/>
      </c>
    </row>
    <row r="59">
      <c r="A59" s="34" t="n">
        <v>55</v>
      </c>
      <c r="B59" s="34" t="inlineStr">
        <is>
          <t>2028-03-30</t>
        </is>
      </c>
      <c r="C59" s="86">
        <f>F58</f>
        <v/>
      </c>
      <c r="D59" s="11">
        <f>MAX(0,C59*$C$19/12)</f>
        <v/>
      </c>
      <c r="E59" s="11">
        <f>MAX(0,MIN(C59,$C$20-D59))</f>
        <v/>
      </c>
      <c r="F59" s="11">
        <f>MAX(0,C59-E59)</f>
        <v/>
      </c>
    </row>
    <row r="60">
      <c r="A60" s="34" t="n">
        <v>56</v>
      </c>
      <c r="B60" s="34" t="inlineStr">
        <is>
          <t>2028-04-30</t>
        </is>
      </c>
      <c r="C60" s="86">
        <f>F59</f>
        <v/>
      </c>
      <c r="D60" s="11">
        <f>MAX(0,C60*$C$19/12)</f>
        <v/>
      </c>
      <c r="E60" s="11">
        <f>MAX(0,MIN(C60,$C$20-D60))</f>
        <v/>
      </c>
      <c r="F60" s="11">
        <f>MAX(0,C60-E60)</f>
        <v/>
      </c>
    </row>
    <row r="61">
      <c r="A61" s="34" t="n">
        <v>57</v>
      </c>
      <c r="B61" s="34" t="inlineStr">
        <is>
          <t>2028-05-30</t>
        </is>
      </c>
      <c r="C61" s="86">
        <f>F60</f>
        <v/>
      </c>
      <c r="D61" s="11">
        <f>MAX(0,C61*$C$19/12)</f>
        <v/>
      </c>
      <c r="E61" s="11">
        <f>MAX(0,MIN(C61,$C$20-D61))</f>
        <v/>
      </c>
      <c r="F61" s="11">
        <f>MAX(0,C61-E61)</f>
        <v/>
      </c>
    </row>
    <row r="62">
      <c r="A62" s="34" t="n">
        <v>58</v>
      </c>
      <c r="B62" s="34" t="inlineStr">
        <is>
          <t>2028-06-30</t>
        </is>
      </c>
      <c r="C62" s="86">
        <f>F61</f>
        <v/>
      </c>
      <c r="D62" s="11">
        <f>MAX(0,C62*$C$19/12)</f>
        <v/>
      </c>
      <c r="E62" s="11">
        <f>MAX(0,MIN(C62,$C$20-D62))</f>
        <v/>
      </c>
      <c r="F62" s="11">
        <f>MAX(0,C62-E62)</f>
        <v/>
      </c>
    </row>
    <row r="63">
      <c r="A63" s="34" t="n">
        <v>59</v>
      </c>
      <c r="B63" s="34" t="inlineStr">
        <is>
          <t>2028-07-30</t>
        </is>
      </c>
      <c r="C63" s="86">
        <f>F62</f>
        <v/>
      </c>
      <c r="D63" s="11">
        <f>MAX(0,C63*$C$19/12)</f>
        <v/>
      </c>
      <c r="E63" s="11">
        <f>MAX(0,MIN(C63,$C$20-D63))</f>
        <v/>
      </c>
      <c r="F63" s="11">
        <f>MAX(0,C63-E63)</f>
        <v/>
      </c>
    </row>
    <row r="64">
      <c r="A64" s="34" t="n">
        <v>60</v>
      </c>
      <c r="B64" s="34" t="inlineStr">
        <is>
          <t>2028-08-30</t>
        </is>
      </c>
      <c r="C64" s="86">
        <f>F63</f>
        <v/>
      </c>
      <c r="D64" s="11">
        <f>MAX(0,C64*$C$19/12)</f>
        <v/>
      </c>
      <c r="E64" s="11">
        <f>MAX(0,MIN(C64,$C$20-D64))</f>
        <v/>
      </c>
      <c r="F64" s="11">
        <f>MAX(0,C64-E64)</f>
        <v/>
      </c>
    </row>
    <row r="65">
      <c r="A65" s="34" t="n">
        <v>61</v>
      </c>
      <c r="B65" s="34" t="inlineStr">
        <is>
          <t>2028-09-30</t>
        </is>
      </c>
      <c r="C65" s="86">
        <f>F64</f>
        <v/>
      </c>
      <c r="D65" s="11">
        <f>MAX(0,C65*$C$19/12)</f>
        <v/>
      </c>
      <c r="E65" s="11">
        <f>MAX(0,MIN(C65,$C$20-D65))</f>
        <v/>
      </c>
      <c r="F65" s="11">
        <f>MAX(0,C65-E65)</f>
        <v/>
      </c>
    </row>
    <row r="66">
      <c r="A66" s="34" t="n">
        <v>62</v>
      </c>
      <c r="B66" s="34" t="inlineStr">
        <is>
          <t>2028-10-30</t>
        </is>
      </c>
      <c r="C66" s="86">
        <f>F65</f>
        <v/>
      </c>
      <c r="D66" s="11">
        <f>MAX(0,C66*$C$19/12)</f>
        <v/>
      </c>
      <c r="E66" s="11">
        <f>MAX(0,MIN(C66,$C$20-D66))</f>
        <v/>
      </c>
      <c r="F66" s="11">
        <f>MAX(0,C66-E66)</f>
        <v/>
      </c>
    </row>
    <row r="67">
      <c r="A67" s="34" t="n">
        <v>63</v>
      </c>
      <c r="B67" s="34" t="inlineStr">
        <is>
          <t>2028-11-30</t>
        </is>
      </c>
      <c r="C67" s="86">
        <f>F66</f>
        <v/>
      </c>
      <c r="D67" s="11">
        <f>MAX(0,C67*$C$19/12)</f>
        <v/>
      </c>
      <c r="E67" s="11">
        <f>MAX(0,MIN(C67,$C$20-D67))</f>
        <v/>
      </c>
      <c r="F67" s="11">
        <f>MAX(0,C67-E67)</f>
        <v/>
      </c>
    </row>
    <row r="68">
      <c r="A68" s="34" t="n">
        <v>64</v>
      </c>
      <c r="B68" s="34" t="inlineStr">
        <is>
          <t>2028-12-30</t>
        </is>
      </c>
      <c r="C68" s="86">
        <f>F67</f>
        <v/>
      </c>
      <c r="D68" s="11">
        <f>MAX(0,C68*$C$19/12)</f>
        <v/>
      </c>
      <c r="E68" s="11">
        <f>MAX(0,MIN(C68,$C$20-D68))</f>
        <v/>
      </c>
      <c r="F68" s="11">
        <f>MAX(0,C68-E68)</f>
        <v/>
      </c>
    </row>
    <row r="69">
      <c r="A69" s="34" t="n">
        <v>65</v>
      </c>
      <c r="B69" s="34" t="inlineStr">
        <is>
          <t>2029-01-30</t>
        </is>
      </c>
      <c r="C69" s="86">
        <f>F68</f>
        <v/>
      </c>
      <c r="D69" s="11">
        <f>MAX(0,C69*$C$19/12)</f>
        <v/>
      </c>
      <c r="E69" s="11">
        <f>MAX(0,MIN(C69,$C$20-D69))</f>
        <v/>
      </c>
      <c r="F69" s="11">
        <f>MAX(0,C69-E69)</f>
        <v/>
      </c>
    </row>
    <row r="70">
      <c r="A70" s="34" t="n">
        <v>66</v>
      </c>
      <c r="B70" s="34" t="inlineStr">
        <is>
          <t>2029-02-28</t>
        </is>
      </c>
      <c r="C70" s="86">
        <f>F69</f>
        <v/>
      </c>
      <c r="D70" s="11">
        <f>MAX(0,C70*$C$19/12)</f>
        <v/>
      </c>
      <c r="E70" s="11">
        <f>MAX(0,MIN(C70,$C$20-D70))</f>
        <v/>
      </c>
      <c r="F70" s="11">
        <f>MAX(0,C70-E70)</f>
        <v/>
      </c>
    </row>
    <row r="73">
      <c r="A73" s="69" t="inlineStr">
        <is>
          <t>LOAN 2: 3 T680 Sleepers (Oct 2023)</t>
        </is>
      </c>
    </row>
    <row r="74">
      <c r="B74" t="inlineStr">
        <is>
          <t>Loan ID</t>
        </is>
      </c>
      <c r="C74" s="2" t="inlineStr">
        <is>
          <t>05-2987-001-000-00</t>
        </is>
      </c>
    </row>
    <row r="75">
      <c r="B75" t="inlineStr">
        <is>
          <t>Description</t>
        </is>
      </c>
      <c r="C75" s="2" t="inlineStr">
        <is>
          <t>3 T680 Sleepers (Oct 2023)</t>
        </is>
      </c>
    </row>
    <row r="76">
      <c r="B76" t="inlineStr">
        <is>
          <t>Loan Type</t>
        </is>
      </c>
      <c r="C76" s="2" t="inlineStr">
        <is>
          <t>AMORTIZING</t>
        </is>
      </c>
    </row>
    <row r="77">
      <c r="B77" t="inlineStr">
        <is>
          <t>Use</t>
        </is>
      </c>
      <c r="C77" s="2" t="inlineStr">
        <is>
          <t>Equipment (Semi trucks)</t>
        </is>
      </c>
    </row>
    <row r="78">
      <c r="B78" t="inlineStr">
        <is>
          <t>Origination Date</t>
        </is>
      </c>
      <c r="C78" s="2" t="inlineStr">
        <is>
          <t>2023-10-20</t>
        </is>
      </c>
    </row>
    <row r="79">
      <c r="B79" t="inlineStr">
        <is>
          <t>Maturity Date</t>
        </is>
      </c>
      <c r="C79" s="2" t="inlineStr">
        <is>
          <t>2029-04-20</t>
        </is>
      </c>
    </row>
    <row r="80">
      <c r="B80" t="inlineStr">
        <is>
          <t>Original Balance</t>
        </is>
      </c>
      <c r="C80" s="3" t="n">
        <v>535989</v>
      </c>
    </row>
    <row r="81">
      <c r="B81" t="inlineStr">
        <is>
          <t>Remaining Balance (Nov 30, 2025)</t>
        </is>
      </c>
      <c r="C81" s="3" t="n">
        <v>355553</v>
      </c>
    </row>
    <row r="82">
      <c r="B82" t="inlineStr">
        <is>
          <t>Annual Interest Rate</t>
        </is>
      </c>
      <c r="C82" s="4" t="n">
        <v>0.0659</v>
      </c>
    </row>
    <row r="83">
      <c r="B83" t="inlineStr">
        <is>
          <t>Monthly Payment</t>
        </is>
      </c>
      <c r="C83" s="3" t="n">
        <v>9703.530000000001</v>
      </c>
    </row>
    <row r="85">
      <c r="A85" s="17" t="inlineStr">
        <is>
          <t>AI ANALYSIS</t>
        </is>
      </c>
    </row>
    <row r="86">
      <c r="B86" s="6" t="inlineStr">
        <is>
          <t>Loan Classification: Standard amortizing equipment loan</t>
        </is>
      </c>
    </row>
    <row r="87">
      <c r="B87" s="6" t="inlineStr">
        <is>
          <t>Equipment: Kenworth T680 trucks / Trailers for freight operations</t>
        </is>
      </c>
    </row>
    <row r="88">
      <c r="B88" s="6" t="inlineStr">
        <is>
          <t>Lender: Atlantic Union Equipment Finance - regional equipment financing</t>
        </is>
      </c>
    </row>
    <row r="89">
      <c r="B89" s="6" t="inlineStr">
        <is>
          <t>Payment Structure: Fixed monthly P&amp;I payments until maturity</t>
        </is>
      </c>
    </row>
    <row r="90">
      <c r="B90" s="6" t="inlineStr">
        <is>
          <t>Collateral: Equipment financed (trucks/trailers)</t>
        </is>
      </c>
    </row>
    <row r="92">
      <c r="A92" s="15" t="inlineStr">
        <is>
          <t>AMORTIZATION SCHEDULE</t>
        </is>
      </c>
    </row>
    <row r="93">
      <c r="A93" s="126" t="inlineStr">
        <is>
          <t>Month #</t>
        </is>
      </c>
      <c r="B93" s="126" t="inlineStr">
        <is>
          <t>Date</t>
        </is>
      </c>
      <c r="C93" s="126" t="inlineStr">
        <is>
          <t>Opening Balance</t>
        </is>
      </c>
      <c r="D93" s="126" t="inlineStr">
        <is>
          <t>Interest</t>
        </is>
      </c>
      <c r="E93" s="126" t="inlineStr">
        <is>
          <t>Principal</t>
        </is>
      </c>
      <c r="F93" s="126" t="inlineStr">
        <is>
          <t>Closing Balance</t>
        </is>
      </c>
    </row>
    <row r="94">
      <c r="A94" s="34" t="n">
        <v>25</v>
      </c>
      <c r="B94" s="34" t="inlineStr">
        <is>
          <t>2025-11-30</t>
        </is>
      </c>
      <c r="C94" s="86">
        <f>C81</f>
        <v/>
      </c>
      <c r="D94" s="11">
        <f>MAX(0,C94*$C$82/12)</f>
        <v/>
      </c>
      <c r="E94" s="11">
        <f>MAX(0,MIN(C94,$C$83-D94))</f>
        <v/>
      </c>
      <c r="F94" s="11">
        <f>MAX(0,C94-E94)</f>
        <v/>
      </c>
    </row>
    <row r="95">
      <c r="A95" s="34" t="n">
        <v>26</v>
      </c>
      <c r="B95" s="34" t="inlineStr">
        <is>
          <t>2025-12-30</t>
        </is>
      </c>
      <c r="C95" s="86">
        <f>F94</f>
        <v/>
      </c>
      <c r="D95" s="11">
        <f>MAX(0,C95*$C$82/12)</f>
        <v/>
      </c>
      <c r="E95" s="11">
        <f>MAX(0,MIN(C95,$C$83-D95))</f>
        <v/>
      </c>
      <c r="F95" s="11">
        <f>MAX(0,C95-E95)</f>
        <v/>
      </c>
    </row>
    <row r="96">
      <c r="A96" s="34" t="n">
        <v>27</v>
      </c>
      <c r="B96" s="34" t="inlineStr">
        <is>
          <t>2026-01-30</t>
        </is>
      </c>
      <c r="C96" s="86">
        <f>F95</f>
        <v/>
      </c>
      <c r="D96" s="11">
        <f>MAX(0,C96*$C$82/12)</f>
        <v/>
      </c>
      <c r="E96" s="11">
        <f>MAX(0,MIN(C96,$C$83-D96))</f>
        <v/>
      </c>
      <c r="F96" s="11">
        <f>MAX(0,C96-E96)</f>
        <v/>
      </c>
    </row>
    <row r="97">
      <c r="A97" s="34" t="n">
        <v>28</v>
      </c>
      <c r="B97" s="34" t="inlineStr">
        <is>
          <t>2026-02-28</t>
        </is>
      </c>
      <c r="C97" s="86">
        <f>F96</f>
        <v/>
      </c>
      <c r="D97" s="11">
        <f>MAX(0,C97*$C$82/12)</f>
        <v/>
      </c>
      <c r="E97" s="11">
        <f>MAX(0,MIN(C97,$C$83-D97))</f>
        <v/>
      </c>
      <c r="F97" s="11">
        <f>MAX(0,C97-E97)</f>
        <v/>
      </c>
    </row>
    <row r="98">
      <c r="A98" s="34" t="n">
        <v>29</v>
      </c>
      <c r="B98" s="34" t="inlineStr">
        <is>
          <t>2026-03-30</t>
        </is>
      </c>
      <c r="C98" s="86">
        <f>F97</f>
        <v/>
      </c>
      <c r="D98" s="11">
        <f>MAX(0,C98*$C$82/12)</f>
        <v/>
      </c>
      <c r="E98" s="11">
        <f>MAX(0,MIN(C98,$C$83-D98))</f>
        <v/>
      </c>
      <c r="F98" s="11">
        <f>MAX(0,C98-E98)</f>
        <v/>
      </c>
    </row>
    <row r="99">
      <c r="A99" s="34" t="n">
        <v>30</v>
      </c>
      <c r="B99" s="34" t="inlineStr">
        <is>
          <t>2026-04-30</t>
        </is>
      </c>
      <c r="C99" s="86">
        <f>F98</f>
        <v/>
      </c>
      <c r="D99" s="11">
        <f>MAX(0,C99*$C$82/12)</f>
        <v/>
      </c>
      <c r="E99" s="11">
        <f>MAX(0,MIN(C99,$C$83-D99))</f>
        <v/>
      </c>
      <c r="F99" s="11">
        <f>MAX(0,C99-E99)</f>
        <v/>
      </c>
    </row>
    <row r="100">
      <c r="A100" s="34" t="n">
        <v>31</v>
      </c>
      <c r="B100" s="34" t="inlineStr">
        <is>
          <t>2026-05-30</t>
        </is>
      </c>
      <c r="C100" s="86">
        <f>F99</f>
        <v/>
      </c>
      <c r="D100" s="11">
        <f>MAX(0,C100*$C$82/12)</f>
        <v/>
      </c>
      <c r="E100" s="11">
        <f>MAX(0,MIN(C100,$C$83-D100))</f>
        <v/>
      </c>
      <c r="F100" s="11">
        <f>MAX(0,C100-E100)</f>
        <v/>
      </c>
    </row>
    <row r="101">
      <c r="A101" s="34" t="n">
        <v>32</v>
      </c>
      <c r="B101" s="34" t="inlineStr">
        <is>
          <t>2026-06-30</t>
        </is>
      </c>
      <c r="C101" s="86">
        <f>F100</f>
        <v/>
      </c>
      <c r="D101" s="11">
        <f>MAX(0,C101*$C$82/12)</f>
        <v/>
      </c>
      <c r="E101" s="11">
        <f>MAX(0,MIN(C101,$C$83-D101))</f>
        <v/>
      </c>
      <c r="F101" s="11">
        <f>MAX(0,C101-E101)</f>
        <v/>
      </c>
    </row>
    <row r="102">
      <c r="A102" s="34" t="n">
        <v>33</v>
      </c>
      <c r="B102" s="34" t="inlineStr">
        <is>
          <t>2026-07-30</t>
        </is>
      </c>
      <c r="C102" s="86">
        <f>F101</f>
        <v/>
      </c>
      <c r="D102" s="11">
        <f>MAX(0,C102*$C$82/12)</f>
        <v/>
      </c>
      <c r="E102" s="11">
        <f>MAX(0,MIN(C102,$C$83-D102))</f>
        <v/>
      </c>
      <c r="F102" s="11">
        <f>MAX(0,C102-E102)</f>
        <v/>
      </c>
    </row>
    <row r="103">
      <c r="A103" s="34" t="n">
        <v>34</v>
      </c>
      <c r="B103" s="34" t="inlineStr">
        <is>
          <t>2026-08-30</t>
        </is>
      </c>
      <c r="C103" s="86">
        <f>F102</f>
        <v/>
      </c>
      <c r="D103" s="11">
        <f>MAX(0,C103*$C$82/12)</f>
        <v/>
      </c>
      <c r="E103" s="11">
        <f>MAX(0,MIN(C103,$C$83-D103))</f>
        <v/>
      </c>
      <c r="F103" s="11">
        <f>MAX(0,C103-E103)</f>
        <v/>
      </c>
    </row>
    <row r="104">
      <c r="A104" s="34" t="n">
        <v>35</v>
      </c>
      <c r="B104" s="34" t="inlineStr">
        <is>
          <t>2026-09-30</t>
        </is>
      </c>
      <c r="C104" s="86">
        <f>F103</f>
        <v/>
      </c>
      <c r="D104" s="11">
        <f>MAX(0,C104*$C$82/12)</f>
        <v/>
      </c>
      <c r="E104" s="11">
        <f>MAX(0,MIN(C104,$C$83-D104))</f>
        <v/>
      </c>
      <c r="F104" s="11">
        <f>MAX(0,C104-E104)</f>
        <v/>
      </c>
    </row>
    <row r="105">
      <c r="A105" s="34" t="n">
        <v>36</v>
      </c>
      <c r="B105" s="34" t="inlineStr">
        <is>
          <t>2026-10-30</t>
        </is>
      </c>
      <c r="C105" s="86">
        <f>F104</f>
        <v/>
      </c>
      <c r="D105" s="11">
        <f>MAX(0,C105*$C$82/12)</f>
        <v/>
      </c>
      <c r="E105" s="11">
        <f>MAX(0,MIN(C105,$C$83-D105))</f>
        <v/>
      </c>
      <c r="F105" s="11">
        <f>MAX(0,C105-E105)</f>
        <v/>
      </c>
    </row>
    <row r="106">
      <c r="A106" s="34" t="n">
        <v>37</v>
      </c>
      <c r="B106" s="34" t="inlineStr">
        <is>
          <t>2026-11-30</t>
        </is>
      </c>
      <c r="C106" s="86">
        <f>F105</f>
        <v/>
      </c>
      <c r="D106" s="11">
        <f>MAX(0,C106*$C$82/12)</f>
        <v/>
      </c>
      <c r="E106" s="11">
        <f>MAX(0,MIN(C106,$C$83-D106))</f>
        <v/>
      </c>
      <c r="F106" s="11">
        <f>MAX(0,C106-E106)</f>
        <v/>
      </c>
    </row>
    <row r="107">
      <c r="A107" s="34" t="n">
        <v>38</v>
      </c>
      <c r="B107" s="34" t="inlineStr">
        <is>
          <t>2026-12-30</t>
        </is>
      </c>
      <c r="C107" s="86">
        <f>F106</f>
        <v/>
      </c>
      <c r="D107" s="11">
        <f>MAX(0,C107*$C$82/12)</f>
        <v/>
      </c>
      <c r="E107" s="11">
        <f>MAX(0,MIN(C107,$C$83-D107))</f>
        <v/>
      </c>
      <c r="F107" s="11">
        <f>MAX(0,C107-E107)</f>
        <v/>
      </c>
    </row>
    <row r="108">
      <c r="A108" s="34" t="n">
        <v>39</v>
      </c>
      <c r="B108" s="34" t="inlineStr">
        <is>
          <t>2027-01-30</t>
        </is>
      </c>
      <c r="C108" s="86">
        <f>F107</f>
        <v/>
      </c>
      <c r="D108" s="11">
        <f>MAX(0,C108*$C$82/12)</f>
        <v/>
      </c>
      <c r="E108" s="11">
        <f>MAX(0,MIN(C108,$C$83-D108))</f>
        <v/>
      </c>
      <c r="F108" s="11">
        <f>MAX(0,C108-E108)</f>
        <v/>
      </c>
    </row>
    <row r="109">
      <c r="A109" s="34" t="n">
        <v>40</v>
      </c>
      <c r="B109" s="34" t="inlineStr">
        <is>
          <t>2027-02-28</t>
        </is>
      </c>
      <c r="C109" s="86">
        <f>F108</f>
        <v/>
      </c>
      <c r="D109" s="11">
        <f>MAX(0,C109*$C$82/12)</f>
        <v/>
      </c>
      <c r="E109" s="11">
        <f>MAX(0,MIN(C109,$C$83-D109))</f>
        <v/>
      </c>
      <c r="F109" s="11">
        <f>MAX(0,C109-E109)</f>
        <v/>
      </c>
    </row>
    <row r="110">
      <c r="A110" s="34" t="n">
        <v>41</v>
      </c>
      <c r="B110" s="34" t="inlineStr">
        <is>
          <t>2027-03-30</t>
        </is>
      </c>
      <c r="C110" s="86">
        <f>F109</f>
        <v/>
      </c>
      <c r="D110" s="11">
        <f>MAX(0,C110*$C$82/12)</f>
        <v/>
      </c>
      <c r="E110" s="11">
        <f>MAX(0,MIN(C110,$C$83-D110))</f>
        <v/>
      </c>
      <c r="F110" s="11">
        <f>MAX(0,C110-E110)</f>
        <v/>
      </c>
    </row>
    <row r="111">
      <c r="A111" s="34" t="n">
        <v>42</v>
      </c>
      <c r="B111" s="34" t="inlineStr">
        <is>
          <t>2027-04-30</t>
        </is>
      </c>
      <c r="C111" s="86">
        <f>F110</f>
        <v/>
      </c>
      <c r="D111" s="11">
        <f>MAX(0,C111*$C$82/12)</f>
        <v/>
      </c>
      <c r="E111" s="11">
        <f>MAX(0,MIN(C111,$C$83-D111))</f>
        <v/>
      </c>
      <c r="F111" s="11">
        <f>MAX(0,C111-E111)</f>
        <v/>
      </c>
    </row>
    <row r="112">
      <c r="A112" s="34" t="n">
        <v>43</v>
      </c>
      <c r="B112" s="34" t="inlineStr">
        <is>
          <t>2027-05-30</t>
        </is>
      </c>
      <c r="C112" s="86">
        <f>F111</f>
        <v/>
      </c>
      <c r="D112" s="11">
        <f>MAX(0,C112*$C$82/12)</f>
        <v/>
      </c>
      <c r="E112" s="11">
        <f>MAX(0,MIN(C112,$C$83-D112))</f>
        <v/>
      </c>
      <c r="F112" s="11">
        <f>MAX(0,C112-E112)</f>
        <v/>
      </c>
    </row>
    <row r="113">
      <c r="A113" s="34" t="n">
        <v>44</v>
      </c>
      <c r="B113" s="34" t="inlineStr">
        <is>
          <t>2027-06-30</t>
        </is>
      </c>
      <c r="C113" s="86">
        <f>F112</f>
        <v/>
      </c>
      <c r="D113" s="11">
        <f>MAX(0,C113*$C$82/12)</f>
        <v/>
      </c>
      <c r="E113" s="11">
        <f>MAX(0,MIN(C113,$C$83-D113))</f>
        <v/>
      </c>
      <c r="F113" s="11">
        <f>MAX(0,C113-E113)</f>
        <v/>
      </c>
    </row>
    <row r="114">
      <c r="A114" s="34" t="n">
        <v>45</v>
      </c>
      <c r="B114" s="34" t="inlineStr">
        <is>
          <t>2027-07-30</t>
        </is>
      </c>
      <c r="C114" s="86">
        <f>F113</f>
        <v/>
      </c>
      <c r="D114" s="11">
        <f>MAX(0,C114*$C$82/12)</f>
        <v/>
      </c>
      <c r="E114" s="11">
        <f>MAX(0,MIN(C114,$C$83-D114))</f>
        <v/>
      </c>
      <c r="F114" s="11">
        <f>MAX(0,C114-E114)</f>
        <v/>
      </c>
    </row>
    <row r="115">
      <c r="A115" s="34" t="n">
        <v>46</v>
      </c>
      <c r="B115" s="34" t="inlineStr">
        <is>
          <t>2027-08-30</t>
        </is>
      </c>
      <c r="C115" s="86">
        <f>F114</f>
        <v/>
      </c>
      <c r="D115" s="11">
        <f>MAX(0,C115*$C$82/12)</f>
        <v/>
      </c>
      <c r="E115" s="11">
        <f>MAX(0,MIN(C115,$C$83-D115))</f>
        <v/>
      </c>
      <c r="F115" s="11">
        <f>MAX(0,C115-E115)</f>
        <v/>
      </c>
    </row>
    <row r="116">
      <c r="A116" s="34" t="n">
        <v>47</v>
      </c>
      <c r="B116" s="34" t="inlineStr">
        <is>
          <t>2027-09-30</t>
        </is>
      </c>
      <c r="C116" s="86">
        <f>F115</f>
        <v/>
      </c>
      <c r="D116" s="11">
        <f>MAX(0,C116*$C$82/12)</f>
        <v/>
      </c>
      <c r="E116" s="11">
        <f>MAX(0,MIN(C116,$C$83-D116))</f>
        <v/>
      </c>
      <c r="F116" s="11">
        <f>MAX(0,C116-E116)</f>
        <v/>
      </c>
    </row>
    <row r="117">
      <c r="A117" s="34" t="n">
        <v>48</v>
      </c>
      <c r="B117" s="34" t="inlineStr">
        <is>
          <t>2027-10-30</t>
        </is>
      </c>
      <c r="C117" s="86">
        <f>F116</f>
        <v/>
      </c>
      <c r="D117" s="11">
        <f>MAX(0,C117*$C$82/12)</f>
        <v/>
      </c>
      <c r="E117" s="11">
        <f>MAX(0,MIN(C117,$C$83-D117))</f>
        <v/>
      </c>
      <c r="F117" s="11">
        <f>MAX(0,C117-E117)</f>
        <v/>
      </c>
    </row>
    <row r="118">
      <c r="A118" s="34" t="n">
        <v>49</v>
      </c>
      <c r="B118" s="34" t="inlineStr">
        <is>
          <t>2027-11-30</t>
        </is>
      </c>
      <c r="C118" s="86">
        <f>F117</f>
        <v/>
      </c>
      <c r="D118" s="11">
        <f>MAX(0,C118*$C$82/12)</f>
        <v/>
      </c>
      <c r="E118" s="11">
        <f>MAX(0,MIN(C118,$C$83-D118))</f>
        <v/>
      </c>
      <c r="F118" s="11">
        <f>MAX(0,C118-E118)</f>
        <v/>
      </c>
    </row>
    <row r="119">
      <c r="A119" s="34" t="n">
        <v>50</v>
      </c>
      <c r="B119" s="34" t="inlineStr">
        <is>
          <t>2027-12-30</t>
        </is>
      </c>
      <c r="C119" s="86">
        <f>F118</f>
        <v/>
      </c>
      <c r="D119" s="11">
        <f>MAX(0,C119*$C$82/12)</f>
        <v/>
      </c>
      <c r="E119" s="11">
        <f>MAX(0,MIN(C119,$C$83-D119))</f>
        <v/>
      </c>
      <c r="F119" s="11">
        <f>MAX(0,C119-E119)</f>
        <v/>
      </c>
    </row>
    <row r="120">
      <c r="A120" s="34" t="n">
        <v>51</v>
      </c>
      <c r="B120" s="34" t="inlineStr">
        <is>
          <t>2028-01-30</t>
        </is>
      </c>
      <c r="C120" s="86">
        <f>F119</f>
        <v/>
      </c>
      <c r="D120" s="11">
        <f>MAX(0,C120*$C$82/12)</f>
        <v/>
      </c>
      <c r="E120" s="11">
        <f>MAX(0,MIN(C120,$C$83-D120))</f>
        <v/>
      </c>
      <c r="F120" s="11">
        <f>MAX(0,C120-E120)</f>
        <v/>
      </c>
    </row>
    <row r="121">
      <c r="A121" s="34" t="n">
        <v>52</v>
      </c>
      <c r="B121" s="34" t="inlineStr">
        <is>
          <t>2028-02-29</t>
        </is>
      </c>
      <c r="C121" s="86">
        <f>F120</f>
        <v/>
      </c>
      <c r="D121" s="11">
        <f>MAX(0,C121*$C$82/12)</f>
        <v/>
      </c>
      <c r="E121" s="11">
        <f>MAX(0,MIN(C121,$C$83-D121))</f>
        <v/>
      </c>
      <c r="F121" s="11">
        <f>MAX(0,C121-E121)</f>
        <v/>
      </c>
    </row>
    <row r="122">
      <c r="A122" s="34" t="n">
        <v>53</v>
      </c>
      <c r="B122" s="34" t="inlineStr">
        <is>
          <t>2028-03-30</t>
        </is>
      </c>
      <c r="C122" s="86">
        <f>F121</f>
        <v/>
      </c>
      <c r="D122" s="11">
        <f>MAX(0,C122*$C$82/12)</f>
        <v/>
      </c>
      <c r="E122" s="11">
        <f>MAX(0,MIN(C122,$C$83-D122))</f>
        <v/>
      </c>
      <c r="F122" s="11">
        <f>MAX(0,C122-E122)</f>
        <v/>
      </c>
    </row>
    <row r="123">
      <c r="A123" s="34" t="n">
        <v>54</v>
      </c>
      <c r="B123" s="34" t="inlineStr">
        <is>
          <t>2028-04-30</t>
        </is>
      </c>
      <c r="C123" s="86">
        <f>F122</f>
        <v/>
      </c>
      <c r="D123" s="11">
        <f>MAX(0,C123*$C$82/12)</f>
        <v/>
      </c>
      <c r="E123" s="11">
        <f>MAX(0,MIN(C123,$C$83-D123))</f>
        <v/>
      </c>
      <c r="F123" s="11">
        <f>MAX(0,C123-E123)</f>
        <v/>
      </c>
    </row>
    <row r="124">
      <c r="A124" s="34" t="n">
        <v>55</v>
      </c>
      <c r="B124" s="34" t="inlineStr">
        <is>
          <t>2028-05-30</t>
        </is>
      </c>
      <c r="C124" s="86">
        <f>F123</f>
        <v/>
      </c>
      <c r="D124" s="11">
        <f>MAX(0,C124*$C$82/12)</f>
        <v/>
      </c>
      <c r="E124" s="11">
        <f>MAX(0,MIN(C124,$C$83-D124))</f>
        <v/>
      </c>
      <c r="F124" s="11">
        <f>MAX(0,C124-E124)</f>
        <v/>
      </c>
    </row>
    <row r="125">
      <c r="A125" s="34" t="n">
        <v>56</v>
      </c>
      <c r="B125" s="34" t="inlineStr">
        <is>
          <t>2028-06-30</t>
        </is>
      </c>
      <c r="C125" s="86">
        <f>F124</f>
        <v/>
      </c>
      <c r="D125" s="11">
        <f>MAX(0,C125*$C$82/12)</f>
        <v/>
      </c>
      <c r="E125" s="11">
        <f>MAX(0,MIN(C125,$C$83-D125))</f>
        <v/>
      </c>
      <c r="F125" s="11">
        <f>MAX(0,C125-E125)</f>
        <v/>
      </c>
    </row>
    <row r="126">
      <c r="A126" s="34" t="n">
        <v>57</v>
      </c>
      <c r="B126" s="34" t="inlineStr">
        <is>
          <t>2028-07-30</t>
        </is>
      </c>
      <c r="C126" s="86">
        <f>F125</f>
        <v/>
      </c>
      <c r="D126" s="11">
        <f>MAX(0,C126*$C$82/12)</f>
        <v/>
      </c>
      <c r="E126" s="11">
        <f>MAX(0,MIN(C126,$C$83-D126))</f>
        <v/>
      </c>
      <c r="F126" s="11">
        <f>MAX(0,C126-E126)</f>
        <v/>
      </c>
    </row>
    <row r="127">
      <c r="A127" s="34" t="n">
        <v>58</v>
      </c>
      <c r="B127" s="34" t="inlineStr">
        <is>
          <t>2028-08-30</t>
        </is>
      </c>
      <c r="C127" s="86">
        <f>F126</f>
        <v/>
      </c>
      <c r="D127" s="11">
        <f>MAX(0,C127*$C$82/12)</f>
        <v/>
      </c>
      <c r="E127" s="11">
        <f>MAX(0,MIN(C127,$C$83-D127))</f>
        <v/>
      </c>
      <c r="F127" s="11">
        <f>MAX(0,C127-E127)</f>
        <v/>
      </c>
    </row>
    <row r="128">
      <c r="A128" s="34" t="n">
        <v>59</v>
      </c>
      <c r="B128" s="34" t="inlineStr">
        <is>
          <t>2028-09-30</t>
        </is>
      </c>
      <c r="C128" s="86">
        <f>F127</f>
        <v/>
      </c>
      <c r="D128" s="11">
        <f>MAX(0,C128*$C$82/12)</f>
        <v/>
      </c>
      <c r="E128" s="11">
        <f>MAX(0,MIN(C128,$C$83-D128))</f>
        <v/>
      </c>
      <c r="F128" s="11">
        <f>MAX(0,C128-E128)</f>
        <v/>
      </c>
    </row>
    <row r="129">
      <c r="A129" s="34" t="n">
        <v>60</v>
      </c>
      <c r="B129" s="34" t="inlineStr">
        <is>
          <t>2028-10-30</t>
        </is>
      </c>
      <c r="C129" s="86">
        <f>F128</f>
        <v/>
      </c>
      <c r="D129" s="11">
        <f>MAX(0,C129*$C$82/12)</f>
        <v/>
      </c>
      <c r="E129" s="11">
        <f>MAX(0,MIN(C129,$C$83-D129))</f>
        <v/>
      </c>
      <c r="F129" s="11">
        <f>MAX(0,C129-E129)</f>
        <v/>
      </c>
    </row>
    <row r="130">
      <c r="A130" s="34" t="n">
        <v>61</v>
      </c>
      <c r="B130" s="34" t="inlineStr">
        <is>
          <t>2028-11-30</t>
        </is>
      </c>
      <c r="C130" s="86">
        <f>F129</f>
        <v/>
      </c>
      <c r="D130" s="11">
        <f>MAX(0,C130*$C$82/12)</f>
        <v/>
      </c>
      <c r="E130" s="11">
        <f>MAX(0,MIN(C130,$C$83-D130))</f>
        <v/>
      </c>
      <c r="F130" s="11">
        <f>MAX(0,C130-E130)</f>
        <v/>
      </c>
    </row>
    <row r="131">
      <c r="A131" s="34" t="n">
        <v>62</v>
      </c>
      <c r="B131" s="34" t="inlineStr">
        <is>
          <t>2028-12-30</t>
        </is>
      </c>
      <c r="C131" s="86">
        <f>F130</f>
        <v/>
      </c>
      <c r="D131" s="11">
        <f>MAX(0,C131*$C$82/12)</f>
        <v/>
      </c>
      <c r="E131" s="11">
        <f>MAX(0,MIN(C131,$C$83-D131))</f>
        <v/>
      </c>
      <c r="F131" s="11">
        <f>MAX(0,C131-E131)</f>
        <v/>
      </c>
    </row>
    <row r="132">
      <c r="A132" s="34" t="n">
        <v>63</v>
      </c>
      <c r="B132" s="34" t="inlineStr">
        <is>
          <t>2029-01-30</t>
        </is>
      </c>
      <c r="C132" s="86">
        <f>F131</f>
        <v/>
      </c>
      <c r="D132" s="11">
        <f>MAX(0,C132*$C$82/12)</f>
        <v/>
      </c>
      <c r="E132" s="11">
        <f>MAX(0,MIN(C132,$C$83-D132))</f>
        <v/>
      </c>
      <c r="F132" s="11">
        <f>MAX(0,C132-E132)</f>
        <v/>
      </c>
    </row>
    <row r="133">
      <c r="A133" s="34" t="n">
        <v>64</v>
      </c>
      <c r="B133" s="34" t="inlineStr">
        <is>
          <t>2029-02-28</t>
        </is>
      </c>
      <c r="C133" s="86">
        <f>F132</f>
        <v/>
      </c>
      <c r="D133" s="11">
        <f>MAX(0,C133*$C$82/12)</f>
        <v/>
      </c>
      <c r="E133" s="11">
        <f>MAX(0,MIN(C133,$C$83-D133))</f>
        <v/>
      </c>
      <c r="F133" s="11">
        <f>MAX(0,C133-E133)</f>
        <v/>
      </c>
    </row>
    <row r="134">
      <c r="A134" s="34" t="n">
        <v>65</v>
      </c>
      <c r="B134" s="34" t="inlineStr">
        <is>
          <t>2029-03-30</t>
        </is>
      </c>
      <c r="C134" s="86">
        <f>F133</f>
        <v/>
      </c>
      <c r="D134" s="11">
        <f>MAX(0,C134*$C$82/12)</f>
        <v/>
      </c>
      <c r="E134" s="11">
        <f>MAX(0,MIN(C134,$C$83-D134))</f>
        <v/>
      </c>
      <c r="F134" s="11">
        <f>MAX(0,C134-E134)</f>
        <v/>
      </c>
    </row>
    <row r="135">
      <c r="A135" s="34" t="n">
        <v>66</v>
      </c>
      <c r="B135" s="34" t="inlineStr">
        <is>
          <t>2029-04-30</t>
        </is>
      </c>
      <c r="C135" s="86">
        <f>F134</f>
        <v/>
      </c>
      <c r="D135" s="11">
        <f>MAX(0,C135*$C$82/12)</f>
        <v/>
      </c>
      <c r="E135" s="11">
        <f>MAX(0,MIN(C135,$C$83-D135))</f>
        <v/>
      </c>
      <c r="F135" s="11">
        <f>MAX(0,C135-E135)</f>
        <v/>
      </c>
    </row>
    <row r="138">
      <c r="A138" s="69" t="inlineStr">
        <is>
          <t>LOAN 3: 25 Trailers (June 2024)</t>
        </is>
      </c>
    </row>
    <row r="139">
      <c r="B139" t="inlineStr">
        <is>
          <t>Loan ID</t>
        </is>
      </c>
      <c r="C139" s="2" t="inlineStr">
        <is>
          <t>05-2987-002-000-00 / Acct: 900003031610003</t>
        </is>
      </c>
    </row>
    <row r="140">
      <c r="B140" t="inlineStr">
        <is>
          <t>Description</t>
        </is>
      </c>
      <c r="C140" s="2" t="inlineStr">
        <is>
          <t>25 Trailers (June 2024)</t>
        </is>
      </c>
    </row>
    <row r="141">
      <c r="B141" t="inlineStr">
        <is>
          <t>Loan Type</t>
        </is>
      </c>
      <c r="C141" s="2" t="inlineStr">
        <is>
          <t>AMORTIZING</t>
        </is>
      </c>
    </row>
    <row r="142">
      <c r="B142" t="inlineStr">
        <is>
          <t>Use</t>
        </is>
      </c>
      <c r="C142" s="2" t="inlineStr">
        <is>
          <t>Equipment (Trailers)</t>
        </is>
      </c>
    </row>
    <row r="143">
      <c r="B143" t="inlineStr">
        <is>
          <t>Origination Date</t>
        </is>
      </c>
      <c r="C143" s="2" t="inlineStr">
        <is>
          <t>2024-06-17</t>
        </is>
      </c>
    </row>
    <row r="144">
      <c r="B144" t="inlineStr">
        <is>
          <t>Maturity Date</t>
        </is>
      </c>
      <c r="C144" s="2" t="inlineStr">
        <is>
          <t>2031-06-17</t>
        </is>
      </c>
    </row>
    <row r="145">
      <c r="B145" t="inlineStr">
        <is>
          <t>Original Balance</t>
        </is>
      </c>
      <c r="C145" s="3" t="n">
        <v>1302999</v>
      </c>
    </row>
    <row r="146">
      <c r="B146" t="inlineStr">
        <is>
          <t>Remaining Balance (Nov 30, 2025)</t>
        </is>
      </c>
      <c r="C146" s="3" t="n">
        <v>1085542</v>
      </c>
    </row>
    <row r="147">
      <c r="B147" t="inlineStr">
        <is>
          <t>Annual Interest Rate</t>
        </is>
      </c>
      <c r="C147" s="4" t="n">
        <v>0.0659</v>
      </c>
    </row>
    <row r="148">
      <c r="B148" t="inlineStr">
        <is>
          <t>Monthly Payment</t>
        </is>
      </c>
      <c r="C148" s="3" t="n">
        <v>19405.62</v>
      </c>
    </row>
    <row r="150">
      <c r="A150" s="17" t="inlineStr">
        <is>
          <t>AI ANALYSIS</t>
        </is>
      </c>
    </row>
    <row r="151">
      <c r="B151" s="6" t="inlineStr">
        <is>
          <t>Loan Classification: Standard amortizing equipment loan</t>
        </is>
      </c>
    </row>
    <row r="152">
      <c r="B152" s="6" t="inlineStr">
        <is>
          <t>Equipment: Kenworth T680 trucks / Trailers for freight operations</t>
        </is>
      </c>
    </row>
    <row r="153">
      <c r="B153" s="6" t="inlineStr">
        <is>
          <t>Lender: Atlantic Union Equipment Finance - regional equipment financing</t>
        </is>
      </c>
    </row>
    <row r="154">
      <c r="B154" s="6" t="inlineStr">
        <is>
          <t>Payment Structure: Fixed monthly P&amp;I payments until maturity</t>
        </is>
      </c>
    </row>
    <row r="155">
      <c r="B155" s="6" t="inlineStr">
        <is>
          <t>Collateral: Equipment financed (trucks/trailers)</t>
        </is>
      </c>
    </row>
    <row r="157">
      <c r="A157" s="15" t="inlineStr">
        <is>
          <t>AMORTIZATION SCHEDULE</t>
        </is>
      </c>
    </row>
    <row r="158">
      <c r="A158" s="126" t="inlineStr">
        <is>
          <t>Month #</t>
        </is>
      </c>
      <c r="B158" s="126" t="inlineStr">
        <is>
          <t>Date</t>
        </is>
      </c>
      <c r="C158" s="126" t="inlineStr">
        <is>
          <t>Opening Balance</t>
        </is>
      </c>
      <c r="D158" s="126" t="inlineStr">
        <is>
          <t>Interest</t>
        </is>
      </c>
      <c r="E158" s="126" t="inlineStr">
        <is>
          <t>Principal</t>
        </is>
      </c>
      <c r="F158" s="126" t="inlineStr">
        <is>
          <t>Closing Balance</t>
        </is>
      </c>
    </row>
    <row r="159">
      <c r="A159" s="34" t="n">
        <v>17</v>
      </c>
      <c r="B159" s="34" t="inlineStr">
        <is>
          <t>2025-11-30</t>
        </is>
      </c>
      <c r="C159" s="86">
        <f>C146</f>
        <v/>
      </c>
      <c r="D159" s="11">
        <f>MAX(0,C159*$C$147/12)</f>
        <v/>
      </c>
      <c r="E159" s="11">
        <f>MAX(0,MIN(C159,$C$148-D159))</f>
        <v/>
      </c>
      <c r="F159" s="11">
        <f>MAX(0,C159-E159)</f>
        <v/>
      </c>
    </row>
    <row r="160">
      <c r="A160" s="34" t="n">
        <v>18</v>
      </c>
      <c r="B160" s="34" t="inlineStr">
        <is>
          <t>2025-12-30</t>
        </is>
      </c>
      <c r="C160" s="86">
        <f>F159</f>
        <v/>
      </c>
      <c r="D160" s="11">
        <f>MAX(0,C160*$C$147/12)</f>
        <v/>
      </c>
      <c r="E160" s="11">
        <f>MAX(0,MIN(C160,$C$148-D160))</f>
        <v/>
      </c>
      <c r="F160" s="11">
        <f>MAX(0,C160-E160)</f>
        <v/>
      </c>
    </row>
    <row r="161">
      <c r="A161" s="34" t="n">
        <v>19</v>
      </c>
      <c r="B161" s="34" t="inlineStr">
        <is>
          <t>2026-01-30</t>
        </is>
      </c>
      <c r="C161" s="86">
        <f>F160</f>
        <v/>
      </c>
      <c r="D161" s="11">
        <f>MAX(0,C161*$C$147/12)</f>
        <v/>
      </c>
      <c r="E161" s="11">
        <f>MAX(0,MIN(C161,$C$148-D161))</f>
        <v/>
      </c>
      <c r="F161" s="11">
        <f>MAX(0,C161-E161)</f>
        <v/>
      </c>
    </row>
    <row r="162">
      <c r="A162" s="34" t="n">
        <v>20</v>
      </c>
      <c r="B162" s="34" t="inlineStr">
        <is>
          <t>2026-02-28</t>
        </is>
      </c>
      <c r="C162" s="86">
        <f>F161</f>
        <v/>
      </c>
      <c r="D162" s="11">
        <f>MAX(0,C162*$C$147/12)</f>
        <v/>
      </c>
      <c r="E162" s="11">
        <f>MAX(0,MIN(C162,$C$148-D162))</f>
        <v/>
      </c>
      <c r="F162" s="11">
        <f>MAX(0,C162-E162)</f>
        <v/>
      </c>
    </row>
    <row r="163">
      <c r="A163" s="34" t="n">
        <v>21</v>
      </c>
      <c r="B163" s="34" t="inlineStr">
        <is>
          <t>2026-03-30</t>
        </is>
      </c>
      <c r="C163" s="86">
        <f>F162</f>
        <v/>
      </c>
      <c r="D163" s="11">
        <f>MAX(0,C163*$C$147/12)</f>
        <v/>
      </c>
      <c r="E163" s="11">
        <f>MAX(0,MIN(C163,$C$148-D163))</f>
        <v/>
      </c>
      <c r="F163" s="11">
        <f>MAX(0,C163-E163)</f>
        <v/>
      </c>
    </row>
    <row r="164">
      <c r="A164" s="34" t="n">
        <v>22</v>
      </c>
      <c r="B164" s="34" t="inlineStr">
        <is>
          <t>2026-04-30</t>
        </is>
      </c>
      <c r="C164" s="86">
        <f>F163</f>
        <v/>
      </c>
      <c r="D164" s="11">
        <f>MAX(0,C164*$C$147/12)</f>
        <v/>
      </c>
      <c r="E164" s="11">
        <f>MAX(0,MIN(C164,$C$148-D164))</f>
        <v/>
      </c>
      <c r="F164" s="11">
        <f>MAX(0,C164-E164)</f>
        <v/>
      </c>
    </row>
    <row r="165">
      <c r="A165" s="34" t="n">
        <v>23</v>
      </c>
      <c r="B165" s="34" t="inlineStr">
        <is>
          <t>2026-05-30</t>
        </is>
      </c>
      <c r="C165" s="86">
        <f>F164</f>
        <v/>
      </c>
      <c r="D165" s="11">
        <f>MAX(0,C165*$C$147/12)</f>
        <v/>
      </c>
      <c r="E165" s="11">
        <f>MAX(0,MIN(C165,$C$148-D165))</f>
        <v/>
      </c>
      <c r="F165" s="11">
        <f>MAX(0,C165-E165)</f>
        <v/>
      </c>
    </row>
    <row r="166">
      <c r="A166" s="34" t="n">
        <v>24</v>
      </c>
      <c r="B166" s="34" t="inlineStr">
        <is>
          <t>2026-06-30</t>
        </is>
      </c>
      <c r="C166" s="86">
        <f>F165</f>
        <v/>
      </c>
      <c r="D166" s="11">
        <f>MAX(0,C166*$C$147/12)</f>
        <v/>
      </c>
      <c r="E166" s="11">
        <f>MAX(0,MIN(C166,$C$148-D166))</f>
        <v/>
      </c>
      <c r="F166" s="11">
        <f>MAX(0,C166-E166)</f>
        <v/>
      </c>
    </row>
    <row r="167">
      <c r="A167" s="34" t="n">
        <v>25</v>
      </c>
      <c r="B167" s="34" t="inlineStr">
        <is>
          <t>2026-07-30</t>
        </is>
      </c>
      <c r="C167" s="86">
        <f>F166</f>
        <v/>
      </c>
      <c r="D167" s="11">
        <f>MAX(0,C167*$C$147/12)</f>
        <v/>
      </c>
      <c r="E167" s="11">
        <f>MAX(0,MIN(C167,$C$148-D167))</f>
        <v/>
      </c>
      <c r="F167" s="11">
        <f>MAX(0,C167-E167)</f>
        <v/>
      </c>
    </row>
    <row r="168">
      <c r="A168" s="34" t="n">
        <v>26</v>
      </c>
      <c r="B168" s="34" t="inlineStr">
        <is>
          <t>2026-08-30</t>
        </is>
      </c>
      <c r="C168" s="86">
        <f>F167</f>
        <v/>
      </c>
      <c r="D168" s="11">
        <f>MAX(0,C168*$C$147/12)</f>
        <v/>
      </c>
      <c r="E168" s="11">
        <f>MAX(0,MIN(C168,$C$148-D168))</f>
        <v/>
      </c>
      <c r="F168" s="11">
        <f>MAX(0,C168-E168)</f>
        <v/>
      </c>
    </row>
    <row r="169">
      <c r="A169" s="34" t="n">
        <v>27</v>
      </c>
      <c r="B169" s="34" t="inlineStr">
        <is>
          <t>2026-09-30</t>
        </is>
      </c>
      <c r="C169" s="86">
        <f>F168</f>
        <v/>
      </c>
      <c r="D169" s="11">
        <f>MAX(0,C169*$C$147/12)</f>
        <v/>
      </c>
      <c r="E169" s="11">
        <f>MAX(0,MIN(C169,$C$148-D169))</f>
        <v/>
      </c>
      <c r="F169" s="11">
        <f>MAX(0,C169-E169)</f>
        <v/>
      </c>
    </row>
    <row r="170">
      <c r="A170" s="34" t="n">
        <v>28</v>
      </c>
      <c r="B170" s="34" t="inlineStr">
        <is>
          <t>2026-10-30</t>
        </is>
      </c>
      <c r="C170" s="86">
        <f>F169</f>
        <v/>
      </c>
      <c r="D170" s="11">
        <f>MAX(0,C170*$C$147/12)</f>
        <v/>
      </c>
      <c r="E170" s="11">
        <f>MAX(0,MIN(C170,$C$148-D170))</f>
        <v/>
      </c>
      <c r="F170" s="11">
        <f>MAX(0,C170-E170)</f>
        <v/>
      </c>
    </row>
    <row r="171">
      <c r="A171" s="34" t="n">
        <v>29</v>
      </c>
      <c r="B171" s="34" t="inlineStr">
        <is>
          <t>2026-11-30</t>
        </is>
      </c>
      <c r="C171" s="86">
        <f>F170</f>
        <v/>
      </c>
      <c r="D171" s="11">
        <f>MAX(0,C171*$C$147/12)</f>
        <v/>
      </c>
      <c r="E171" s="11">
        <f>MAX(0,MIN(C171,$C$148-D171))</f>
        <v/>
      </c>
      <c r="F171" s="11">
        <f>MAX(0,C171-E171)</f>
        <v/>
      </c>
    </row>
    <row r="172">
      <c r="A172" s="34" t="n">
        <v>30</v>
      </c>
      <c r="B172" s="34" t="inlineStr">
        <is>
          <t>2026-12-30</t>
        </is>
      </c>
      <c r="C172" s="86">
        <f>F171</f>
        <v/>
      </c>
      <c r="D172" s="11">
        <f>MAX(0,C172*$C$147/12)</f>
        <v/>
      </c>
      <c r="E172" s="11">
        <f>MAX(0,MIN(C172,$C$148-D172))</f>
        <v/>
      </c>
      <c r="F172" s="11">
        <f>MAX(0,C172-E172)</f>
        <v/>
      </c>
    </row>
    <row r="173">
      <c r="A173" s="34" t="n">
        <v>31</v>
      </c>
      <c r="B173" s="34" t="inlineStr">
        <is>
          <t>2027-01-30</t>
        </is>
      </c>
      <c r="C173" s="86">
        <f>F172</f>
        <v/>
      </c>
      <c r="D173" s="11">
        <f>MAX(0,C173*$C$147/12)</f>
        <v/>
      </c>
      <c r="E173" s="11">
        <f>MAX(0,MIN(C173,$C$148-D173))</f>
        <v/>
      </c>
      <c r="F173" s="11">
        <f>MAX(0,C173-E173)</f>
        <v/>
      </c>
    </row>
    <row r="174">
      <c r="A174" s="34" t="n">
        <v>32</v>
      </c>
      <c r="B174" s="34" t="inlineStr">
        <is>
          <t>2027-02-28</t>
        </is>
      </c>
      <c r="C174" s="86">
        <f>F173</f>
        <v/>
      </c>
      <c r="D174" s="11">
        <f>MAX(0,C174*$C$147/12)</f>
        <v/>
      </c>
      <c r="E174" s="11">
        <f>MAX(0,MIN(C174,$C$148-D174))</f>
        <v/>
      </c>
      <c r="F174" s="11">
        <f>MAX(0,C174-E174)</f>
        <v/>
      </c>
    </row>
    <row r="175">
      <c r="A175" s="34" t="n">
        <v>33</v>
      </c>
      <c r="B175" s="34" t="inlineStr">
        <is>
          <t>2027-03-30</t>
        </is>
      </c>
      <c r="C175" s="86">
        <f>F174</f>
        <v/>
      </c>
      <c r="D175" s="11">
        <f>MAX(0,C175*$C$147/12)</f>
        <v/>
      </c>
      <c r="E175" s="11">
        <f>MAX(0,MIN(C175,$C$148-D175))</f>
        <v/>
      </c>
      <c r="F175" s="11">
        <f>MAX(0,C175-E175)</f>
        <v/>
      </c>
    </row>
    <row r="176">
      <c r="A176" s="34" t="n">
        <v>34</v>
      </c>
      <c r="B176" s="34" t="inlineStr">
        <is>
          <t>2027-04-30</t>
        </is>
      </c>
      <c r="C176" s="86">
        <f>F175</f>
        <v/>
      </c>
      <c r="D176" s="11">
        <f>MAX(0,C176*$C$147/12)</f>
        <v/>
      </c>
      <c r="E176" s="11">
        <f>MAX(0,MIN(C176,$C$148-D176))</f>
        <v/>
      </c>
      <c r="F176" s="11">
        <f>MAX(0,C176-E176)</f>
        <v/>
      </c>
    </row>
    <row r="177">
      <c r="A177" s="34" t="n">
        <v>35</v>
      </c>
      <c r="B177" s="34" t="inlineStr">
        <is>
          <t>2027-05-30</t>
        </is>
      </c>
      <c r="C177" s="86">
        <f>F176</f>
        <v/>
      </c>
      <c r="D177" s="11">
        <f>MAX(0,C177*$C$147/12)</f>
        <v/>
      </c>
      <c r="E177" s="11">
        <f>MAX(0,MIN(C177,$C$148-D177))</f>
        <v/>
      </c>
      <c r="F177" s="11">
        <f>MAX(0,C177-E177)</f>
        <v/>
      </c>
    </row>
    <row r="178">
      <c r="A178" s="34" t="n">
        <v>36</v>
      </c>
      <c r="B178" s="34" t="inlineStr">
        <is>
          <t>2027-06-30</t>
        </is>
      </c>
      <c r="C178" s="86">
        <f>F177</f>
        <v/>
      </c>
      <c r="D178" s="11">
        <f>MAX(0,C178*$C$147/12)</f>
        <v/>
      </c>
      <c r="E178" s="11">
        <f>MAX(0,MIN(C178,$C$148-D178))</f>
        <v/>
      </c>
      <c r="F178" s="11">
        <f>MAX(0,C178-E178)</f>
        <v/>
      </c>
    </row>
    <row r="179">
      <c r="A179" s="34" t="n">
        <v>37</v>
      </c>
      <c r="B179" s="34" t="inlineStr">
        <is>
          <t>2027-07-30</t>
        </is>
      </c>
      <c r="C179" s="86">
        <f>F178</f>
        <v/>
      </c>
      <c r="D179" s="11">
        <f>MAX(0,C179*$C$147/12)</f>
        <v/>
      </c>
      <c r="E179" s="11">
        <f>MAX(0,MIN(C179,$C$148-D179))</f>
        <v/>
      </c>
      <c r="F179" s="11">
        <f>MAX(0,C179-E179)</f>
        <v/>
      </c>
    </row>
    <row r="180">
      <c r="A180" s="34" t="n">
        <v>38</v>
      </c>
      <c r="B180" s="34" t="inlineStr">
        <is>
          <t>2027-08-30</t>
        </is>
      </c>
      <c r="C180" s="86">
        <f>F179</f>
        <v/>
      </c>
      <c r="D180" s="11">
        <f>MAX(0,C180*$C$147/12)</f>
        <v/>
      </c>
      <c r="E180" s="11">
        <f>MAX(0,MIN(C180,$C$148-D180))</f>
        <v/>
      </c>
      <c r="F180" s="11">
        <f>MAX(0,C180-E180)</f>
        <v/>
      </c>
    </row>
    <row r="181">
      <c r="A181" s="34" t="n">
        <v>39</v>
      </c>
      <c r="B181" s="34" t="inlineStr">
        <is>
          <t>2027-09-30</t>
        </is>
      </c>
      <c r="C181" s="86">
        <f>F180</f>
        <v/>
      </c>
      <c r="D181" s="11">
        <f>MAX(0,C181*$C$147/12)</f>
        <v/>
      </c>
      <c r="E181" s="11">
        <f>MAX(0,MIN(C181,$C$148-D181))</f>
        <v/>
      </c>
      <c r="F181" s="11">
        <f>MAX(0,C181-E181)</f>
        <v/>
      </c>
    </row>
    <row r="182">
      <c r="A182" s="34" t="n">
        <v>40</v>
      </c>
      <c r="B182" s="34" t="inlineStr">
        <is>
          <t>2027-10-30</t>
        </is>
      </c>
      <c r="C182" s="86">
        <f>F181</f>
        <v/>
      </c>
      <c r="D182" s="11">
        <f>MAX(0,C182*$C$147/12)</f>
        <v/>
      </c>
      <c r="E182" s="11">
        <f>MAX(0,MIN(C182,$C$148-D182))</f>
        <v/>
      </c>
      <c r="F182" s="11">
        <f>MAX(0,C182-E182)</f>
        <v/>
      </c>
    </row>
    <row r="183">
      <c r="A183" s="34" t="n">
        <v>41</v>
      </c>
      <c r="B183" s="34" t="inlineStr">
        <is>
          <t>2027-11-30</t>
        </is>
      </c>
      <c r="C183" s="86">
        <f>F182</f>
        <v/>
      </c>
      <c r="D183" s="11">
        <f>MAX(0,C183*$C$147/12)</f>
        <v/>
      </c>
      <c r="E183" s="11">
        <f>MAX(0,MIN(C183,$C$148-D183))</f>
        <v/>
      </c>
      <c r="F183" s="11">
        <f>MAX(0,C183-E183)</f>
        <v/>
      </c>
    </row>
    <row r="184">
      <c r="A184" s="34" t="n">
        <v>42</v>
      </c>
      <c r="B184" s="34" t="inlineStr">
        <is>
          <t>2027-12-30</t>
        </is>
      </c>
      <c r="C184" s="86">
        <f>F183</f>
        <v/>
      </c>
      <c r="D184" s="11">
        <f>MAX(0,C184*$C$147/12)</f>
        <v/>
      </c>
      <c r="E184" s="11">
        <f>MAX(0,MIN(C184,$C$148-D184))</f>
        <v/>
      </c>
      <c r="F184" s="11">
        <f>MAX(0,C184-E184)</f>
        <v/>
      </c>
    </row>
    <row r="185">
      <c r="A185" s="34" t="n">
        <v>43</v>
      </c>
      <c r="B185" s="34" t="inlineStr">
        <is>
          <t>2028-01-30</t>
        </is>
      </c>
      <c r="C185" s="86">
        <f>F184</f>
        <v/>
      </c>
      <c r="D185" s="11">
        <f>MAX(0,C185*$C$147/12)</f>
        <v/>
      </c>
      <c r="E185" s="11">
        <f>MAX(0,MIN(C185,$C$148-D185))</f>
        <v/>
      </c>
      <c r="F185" s="11">
        <f>MAX(0,C185-E185)</f>
        <v/>
      </c>
    </row>
    <row r="186">
      <c r="A186" s="34" t="n">
        <v>44</v>
      </c>
      <c r="B186" s="34" t="inlineStr">
        <is>
          <t>2028-02-29</t>
        </is>
      </c>
      <c r="C186" s="86">
        <f>F185</f>
        <v/>
      </c>
      <c r="D186" s="11">
        <f>MAX(0,C186*$C$147/12)</f>
        <v/>
      </c>
      <c r="E186" s="11">
        <f>MAX(0,MIN(C186,$C$148-D186))</f>
        <v/>
      </c>
      <c r="F186" s="11">
        <f>MAX(0,C186-E186)</f>
        <v/>
      </c>
    </row>
    <row r="187">
      <c r="A187" s="34" t="n">
        <v>45</v>
      </c>
      <c r="B187" s="34" t="inlineStr">
        <is>
          <t>2028-03-30</t>
        </is>
      </c>
      <c r="C187" s="86">
        <f>F186</f>
        <v/>
      </c>
      <c r="D187" s="11">
        <f>MAX(0,C187*$C$147/12)</f>
        <v/>
      </c>
      <c r="E187" s="11">
        <f>MAX(0,MIN(C187,$C$148-D187))</f>
        <v/>
      </c>
      <c r="F187" s="11">
        <f>MAX(0,C187-E187)</f>
        <v/>
      </c>
    </row>
    <row r="188">
      <c r="A188" s="34" t="n">
        <v>46</v>
      </c>
      <c r="B188" s="34" t="inlineStr">
        <is>
          <t>2028-04-30</t>
        </is>
      </c>
      <c r="C188" s="86">
        <f>F187</f>
        <v/>
      </c>
      <c r="D188" s="11">
        <f>MAX(0,C188*$C$147/12)</f>
        <v/>
      </c>
      <c r="E188" s="11">
        <f>MAX(0,MIN(C188,$C$148-D188))</f>
        <v/>
      </c>
      <c r="F188" s="11">
        <f>MAX(0,C188-E188)</f>
        <v/>
      </c>
    </row>
    <row r="189">
      <c r="A189" s="34" t="n">
        <v>47</v>
      </c>
      <c r="B189" s="34" t="inlineStr">
        <is>
          <t>2028-05-30</t>
        </is>
      </c>
      <c r="C189" s="86">
        <f>F188</f>
        <v/>
      </c>
      <c r="D189" s="11">
        <f>MAX(0,C189*$C$147/12)</f>
        <v/>
      </c>
      <c r="E189" s="11">
        <f>MAX(0,MIN(C189,$C$148-D189))</f>
        <v/>
      </c>
      <c r="F189" s="11">
        <f>MAX(0,C189-E189)</f>
        <v/>
      </c>
    </row>
    <row r="190">
      <c r="A190" s="34" t="n">
        <v>48</v>
      </c>
      <c r="B190" s="34" t="inlineStr">
        <is>
          <t>2028-06-30</t>
        </is>
      </c>
      <c r="C190" s="86">
        <f>F189</f>
        <v/>
      </c>
      <c r="D190" s="11">
        <f>MAX(0,C190*$C$147/12)</f>
        <v/>
      </c>
      <c r="E190" s="11">
        <f>MAX(0,MIN(C190,$C$148-D190))</f>
        <v/>
      </c>
      <c r="F190" s="11">
        <f>MAX(0,C190-E190)</f>
        <v/>
      </c>
    </row>
    <row r="191">
      <c r="A191" s="34" t="n">
        <v>49</v>
      </c>
      <c r="B191" s="34" t="inlineStr">
        <is>
          <t>2028-07-30</t>
        </is>
      </c>
      <c r="C191" s="86">
        <f>F190</f>
        <v/>
      </c>
      <c r="D191" s="11">
        <f>MAX(0,C191*$C$147/12)</f>
        <v/>
      </c>
      <c r="E191" s="11">
        <f>MAX(0,MIN(C191,$C$148-D191))</f>
        <v/>
      </c>
      <c r="F191" s="11">
        <f>MAX(0,C191-E191)</f>
        <v/>
      </c>
    </row>
    <row r="192">
      <c r="A192" s="34" t="n">
        <v>50</v>
      </c>
      <c r="B192" s="34" t="inlineStr">
        <is>
          <t>2028-08-30</t>
        </is>
      </c>
      <c r="C192" s="86">
        <f>F191</f>
        <v/>
      </c>
      <c r="D192" s="11">
        <f>MAX(0,C192*$C$147/12)</f>
        <v/>
      </c>
      <c r="E192" s="11">
        <f>MAX(0,MIN(C192,$C$148-D192))</f>
        <v/>
      </c>
      <c r="F192" s="11">
        <f>MAX(0,C192-E192)</f>
        <v/>
      </c>
    </row>
    <row r="193">
      <c r="A193" s="34" t="n">
        <v>51</v>
      </c>
      <c r="B193" s="34" t="inlineStr">
        <is>
          <t>2028-09-30</t>
        </is>
      </c>
      <c r="C193" s="86">
        <f>F192</f>
        <v/>
      </c>
      <c r="D193" s="11">
        <f>MAX(0,C193*$C$147/12)</f>
        <v/>
      </c>
      <c r="E193" s="11">
        <f>MAX(0,MIN(C193,$C$148-D193))</f>
        <v/>
      </c>
      <c r="F193" s="11">
        <f>MAX(0,C193-E193)</f>
        <v/>
      </c>
    </row>
    <row r="194">
      <c r="A194" s="34" t="n">
        <v>52</v>
      </c>
      <c r="B194" s="34" t="inlineStr">
        <is>
          <t>2028-10-30</t>
        </is>
      </c>
      <c r="C194" s="86">
        <f>F193</f>
        <v/>
      </c>
      <c r="D194" s="11">
        <f>MAX(0,C194*$C$147/12)</f>
        <v/>
      </c>
      <c r="E194" s="11">
        <f>MAX(0,MIN(C194,$C$148-D194))</f>
        <v/>
      </c>
      <c r="F194" s="11">
        <f>MAX(0,C194-E194)</f>
        <v/>
      </c>
    </row>
    <row r="195">
      <c r="A195" s="34" t="n">
        <v>53</v>
      </c>
      <c r="B195" s="34" t="inlineStr">
        <is>
          <t>2028-11-30</t>
        </is>
      </c>
      <c r="C195" s="86">
        <f>F194</f>
        <v/>
      </c>
      <c r="D195" s="11">
        <f>MAX(0,C195*$C$147/12)</f>
        <v/>
      </c>
      <c r="E195" s="11">
        <f>MAX(0,MIN(C195,$C$148-D195))</f>
        <v/>
      </c>
      <c r="F195" s="11">
        <f>MAX(0,C195-E195)</f>
        <v/>
      </c>
    </row>
    <row r="196">
      <c r="A196" s="34" t="n">
        <v>54</v>
      </c>
      <c r="B196" s="34" t="inlineStr">
        <is>
          <t>2028-12-30</t>
        </is>
      </c>
      <c r="C196" s="86">
        <f>F195</f>
        <v/>
      </c>
      <c r="D196" s="11">
        <f>MAX(0,C196*$C$147/12)</f>
        <v/>
      </c>
      <c r="E196" s="11">
        <f>MAX(0,MIN(C196,$C$148-D196))</f>
        <v/>
      </c>
      <c r="F196" s="11">
        <f>MAX(0,C196-E196)</f>
        <v/>
      </c>
    </row>
    <row r="197">
      <c r="A197" s="34" t="n">
        <v>55</v>
      </c>
      <c r="B197" s="34" t="inlineStr">
        <is>
          <t>2029-01-30</t>
        </is>
      </c>
      <c r="C197" s="86">
        <f>F196</f>
        <v/>
      </c>
      <c r="D197" s="11">
        <f>MAX(0,C197*$C$147/12)</f>
        <v/>
      </c>
      <c r="E197" s="11">
        <f>MAX(0,MIN(C197,$C$148-D197))</f>
        <v/>
      </c>
      <c r="F197" s="11">
        <f>MAX(0,C197-E197)</f>
        <v/>
      </c>
    </row>
    <row r="198">
      <c r="A198" s="34" t="n">
        <v>56</v>
      </c>
      <c r="B198" s="34" t="inlineStr">
        <is>
          <t>2029-02-28</t>
        </is>
      </c>
      <c r="C198" s="86">
        <f>F197</f>
        <v/>
      </c>
      <c r="D198" s="11">
        <f>MAX(0,C198*$C$147/12)</f>
        <v/>
      </c>
      <c r="E198" s="11">
        <f>MAX(0,MIN(C198,$C$148-D198))</f>
        <v/>
      </c>
      <c r="F198" s="11">
        <f>MAX(0,C198-E198)</f>
        <v/>
      </c>
    </row>
    <row r="199">
      <c r="A199" s="34" t="n">
        <v>57</v>
      </c>
      <c r="B199" s="34" t="inlineStr">
        <is>
          <t>2029-03-30</t>
        </is>
      </c>
      <c r="C199" s="86">
        <f>F198</f>
        <v/>
      </c>
      <c r="D199" s="11">
        <f>MAX(0,C199*$C$147/12)</f>
        <v/>
      </c>
      <c r="E199" s="11">
        <f>MAX(0,MIN(C199,$C$148-D199))</f>
        <v/>
      </c>
      <c r="F199" s="11">
        <f>MAX(0,C199-E199)</f>
        <v/>
      </c>
    </row>
    <row r="200">
      <c r="A200" s="34" t="n">
        <v>58</v>
      </c>
      <c r="B200" s="34" t="inlineStr">
        <is>
          <t>2029-04-30</t>
        </is>
      </c>
      <c r="C200" s="86">
        <f>F199</f>
        <v/>
      </c>
      <c r="D200" s="11">
        <f>MAX(0,C200*$C$147/12)</f>
        <v/>
      </c>
      <c r="E200" s="11">
        <f>MAX(0,MIN(C200,$C$148-D200))</f>
        <v/>
      </c>
      <c r="F200" s="11">
        <f>MAX(0,C200-E200)</f>
        <v/>
      </c>
    </row>
    <row r="201">
      <c r="A201" s="34" t="n">
        <v>59</v>
      </c>
      <c r="B201" s="34" t="inlineStr">
        <is>
          <t>2029-05-30</t>
        </is>
      </c>
      <c r="C201" s="86">
        <f>F200</f>
        <v/>
      </c>
      <c r="D201" s="11">
        <f>MAX(0,C201*$C$147/12)</f>
        <v/>
      </c>
      <c r="E201" s="11">
        <f>MAX(0,MIN(C201,$C$148-D201))</f>
        <v/>
      </c>
      <c r="F201" s="11">
        <f>MAX(0,C201-E201)</f>
        <v/>
      </c>
    </row>
    <row r="202">
      <c r="A202" s="34" t="n">
        <v>60</v>
      </c>
      <c r="B202" s="34" t="inlineStr">
        <is>
          <t>2029-06-30</t>
        </is>
      </c>
      <c r="C202" s="86">
        <f>F201</f>
        <v/>
      </c>
      <c r="D202" s="11">
        <f>MAX(0,C202*$C$147/12)</f>
        <v/>
      </c>
      <c r="E202" s="11">
        <f>MAX(0,MIN(C202,$C$148-D202))</f>
        <v/>
      </c>
      <c r="F202" s="11">
        <f>MAX(0,C202-E202)</f>
        <v/>
      </c>
    </row>
    <row r="203">
      <c r="A203" s="34" t="n">
        <v>61</v>
      </c>
      <c r="B203" s="34" t="inlineStr">
        <is>
          <t>2029-07-30</t>
        </is>
      </c>
      <c r="C203" s="86">
        <f>F202</f>
        <v/>
      </c>
      <c r="D203" s="11">
        <f>MAX(0,C203*$C$147/12)</f>
        <v/>
      </c>
      <c r="E203" s="11">
        <f>MAX(0,MIN(C203,$C$148-D203))</f>
        <v/>
      </c>
      <c r="F203" s="11">
        <f>MAX(0,C203-E203)</f>
        <v/>
      </c>
    </row>
    <row r="204">
      <c r="A204" s="34" t="n">
        <v>62</v>
      </c>
      <c r="B204" s="34" t="inlineStr">
        <is>
          <t>2029-08-30</t>
        </is>
      </c>
      <c r="C204" s="86">
        <f>F203</f>
        <v/>
      </c>
      <c r="D204" s="11">
        <f>MAX(0,C204*$C$147/12)</f>
        <v/>
      </c>
      <c r="E204" s="11">
        <f>MAX(0,MIN(C204,$C$148-D204))</f>
        <v/>
      </c>
      <c r="F204" s="11">
        <f>MAX(0,C204-E204)</f>
        <v/>
      </c>
    </row>
    <row r="205">
      <c r="A205" s="34" t="n">
        <v>63</v>
      </c>
      <c r="B205" s="34" t="inlineStr">
        <is>
          <t>2029-09-30</t>
        </is>
      </c>
      <c r="C205" s="86">
        <f>F204</f>
        <v/>
      </c>
      <c r="D205" s="11">
        <f>MAX(0,C205*$C$147/12)</f>
        <v/>
      </c>
      <c r="E205" s="11">
        <f>MAX(0,MIN(C205,$C$148-D205))</f>
        <v/>
      </c>
      <c r="F205" s="11">
        <f>MAX(0,C205-E205)</f>
        <v/>
      </c>
    </row>
    <row r="206">
      <c r="A206" s="34" t="n">
        <v>64</v>
      </c>
      <c r="B206" s="34" t="inlineStr">
        <is>
          <t>2029-10-30</t>
        </is>
      </c>
      <c r="C206" s="86">
        <f>F205</f>
        <v/>
      </c>
      <c r="D206" s="11">
        <f>MAX(0,C206*$C$147/12)</f>
        <v/>
      </c>
      <c r="E206" s="11">
        <f>MAX(0,MIN(C206,$C$148-D206))</f>
        <v/>
      </c>
      <c r="F206" s="11">
        <f>MAX(0,C206-E206)</f>
        <v/>
      </c>
    </row>
    <row r="207">
      <c r="A207" s="34" t="n">
        <v>65</v>
      </c>
      <c r="B207" s="34" t="inlineStr">
        <is>
          <t>2029-11-30</t>
        </is>
      </c>
      <c r="C207" s="86">
        <f>F206</f>
        <v/>
      </c>
      <c r="D207" s="11">
        <f>MAX(0,C207*$C$147/12)</f>
        <v/>
      </c>
      <c r="E207" s="11">
        <f>MAX(0,MIN(C207,$C$148-D207))</f>
        <v/>
      </c>
      <c r="F207" s="11">
        <f>MAX(0,C207-E207)</f>
        <v/>
      </c>
    </row>
    <row r="208">
      <c r="A208" s="34" t="n">
        <v>66</v>
      </c>
      <c r="B208" s="34" t="inlineStr">
        <is>
          <t>2029-12-30</t>
        </is>
      </c>
      <c r="C208" s="86">
        <f>F207</f>
        <v/>
      </c>
      <c r="D208" s="11">
        <f>MAX(0,C208*$C$147/12)</f>
        <v/>
      </c>
      <c r="E208" s="11">
        <f>MAX(0,MIN(C208,$C$148-D208))</f>
        <v/>
      </c>
      <c r="F208" s="11">
        <f>MAX(0,C208-E208)</f>
        <v/>
      </c>
    </row>
    <row r="209">
      <c r="A209" s="34" t="n">
        <v>67</v>
      </c>
      <c r="B209" s="34" t="inlineStr">
        <is>
          <t>2030-01-30</t>
        </is>
      </c>
      <c r="C209" s="86">
        <f>F208</f>
        <v/>
      </c>
      <c r="D209" s="11">
        <f>MAX(0,C209*$C$147/12)</f>
        <v/>
      </c>
      <c r="E209" s="11">
        <f>MAX(0,MIN(C209,$C$148-D209))</f>
        <v/>
      </c>
      <c r="F209" s="11">
        <f>MAX(0,C209-E209)</f>
        <v/>
      </c>
    </row>
    <row r="210">
      <c r="A210" s="34" t="n">
        <v>68</v>
      </c>
      <c r="B210" s="34" t="inlineStr">
        <is>
          <t>2030-02-28</t>
        </is>
      </c>
      <c r="C210" s="86">
        <f>F209</f>
        <v/>
      </c>
      <c r="D210" s="11">
        <f>MAX(0,C210*$C$147/12)</f>
        <v/>
      </c>
      <c r="E210" s="11">
        <f>MAX(0,MIN(C210,$C$148-D210))</f>
        <v/>
      </c>
      <c r="F210" s="11">
        <f>MAX(0,C210-E210)</f>
        <v/>
      </c>
    </row>
    <row r="211">
      <c r="A211" s="34" t="n">
        <v>69</v>
      </c>
      <c r="B211" s="34" t="inlineStr">
        <is>
          <t>2030-03-30</t>
        </is>
      </c>
      <c r="C211" s="86">
        <f>F210</f>
        <v/>
      </c>
      <c r="D211" s="11">
        <f>MAX(0,C211*$C$147/12)</f>
        <v/>
      </c>
      <c r="E211" s="11">
        <f>MAX(0,MIN(C211,$C$148-D211))</f>
        <v/>
      </c>
      <c r="F211" s="11">
        <f>MAX(0,C211-E211)</f>
        <v/>
      </c>
    </row>
    <row r="212">
      <c r="A212" s="34" t="n">
        <v>70</v>
      </c>
      <c r="B212" s="34" t="inlineStr">
        <is>
          <t>2030-04-30</t>
        </is>
      </c>
      <c r="C212" s="86">
        <f>F211</f>
        <v/>
      </c>
      <c r="D212" s="11">
        <f>MAX(0,C212*$C$147/12)</f>
        <v/>
      </c>
      <c r="E212" s="11">
        <f>MAX(0,MIN(C212,$C$148-D212))</f>
        <v/>
      </c>
      <c r="F212" s="11">
        <f>MAX(0,C212-E212)</f>
        <v/>
      </c>
    </row>
    <row r="213">
      <c r="A213" s="34" t="n">
        <v>71</v>
      </c>
      <c r="B213" s="34" t="inlineStr">
        <is>
          <t>2030-05-30</t>
        </is>
      </c>
      <c r="C213" s="86">
        <f>F212</f>
        <v/>
      </c>
      <c r="D213" s="11">
        <f>MAX(0,C213*$C$147/12)</f>
        <v/>
      </c>
      <c r="E213" s="11">
        <f>MAX(0,MIN(C213,$C$148-D213))</f>
        <v/>
      </c>
      <c r="F213" s="11">
        <f>MAX(0,C213-E213)</f>
        <v/>
      </c>
    </row>
    <row r="214">
      <c r="A214" s="34" t="n">
        <v>72</v>
      </c>
      <c r="B214" s="34" t="inlineStr">
        <is>
          <t>2030-06-30</t>
        </is>
      </c>
      <c r="C214" s="86">
        <f>F213</f>
        <v/>
      </c>
      <c r="D214" s="11">
        <f>MAX(0,C214*$C$147/12)</f>
        <v/>
      </c>
      <c r="E214" s="11">
        <f>MAX(0,MIN(C214,$C$148-D214))</f>
        <v/>
      </c>
      <c r="F214" s="11">
        <f>MAX(0,C214-E214)</f>
        <v/>
      </c>
    </row>
    <row r="215">
      <c r="A215" s="34" t="n">
        <v>73</v>
      </c>
      <c r="B215" s="34" t="inlineStr">
        <is>
          <t>2030-07-30</t>
        </is>
      </c>
      <c r="C215" s="86">
        <f>F214</f>
        <v/>
      </c>
      <c r="D215" s="11">
        <f>MAX(0,C215*$C$147/12)</f>
        <v/>
      </c>
      <c r="E215" s="11">
        <f>MAX(0,MIN(C215,$C$148-D215))</f>
        <v/>
      </c>
      <c r="F215" s="11">
        <f>MAX(0,C215-E215)</f>
        <v/>
      </c>
    </row>
    <row r="216">
      <c r="A216" s="34" t="n">
        <v>74</v>
      </c>
      <c r="B216" s="34" t="inlineStr">
        <is>
          <t>2030-08-30</t>
        </is>
      </c>
      <c r="C216" s="86">
        <f>F215</f>
        <v/>
      </c>
      <c r="D216" s="11">
        <f>MAX(0,C216*$C$147/12)</f>
        <v/>
      </c>
      <c r="E216" s="11">
        <f>MAX(0,MIN(C216,$C$148-D216))</f>
        <v/>
      </c>
      <c r="F216" s="11">
        <f>MAX(0,C216-E216)</f>
        <v/>
      </c>
    </row>
    <row r="217">
      <c r="A217" s="34" t="n">
        <v>75</v>
      </c>
      <c r="B217" s="34" t="inlineStr">
        <is>
          <t>2030-09-30</t>
        </is>
      </c>
      <c r="C217" s="86">
        <f>F216</f>
        <v/>
      </c>
      <c r="D217" s="11">
        <f>MAX(0,C217*$C$147/12)</f>
        <v/>
      </c>
      <c r="E217" s="11">
        <f>MAX(0,MIN(C217,$C$148-D217))</f>
        <v/>
      </c>
      <c r="F217" s="11">
        <f>MAX(0,C217-E217)</f>
        <v/>
      </c>
    </row>
    <row r="218">
      <c r="A218" s="34" t="n">
        <v>76</v>
      </c>
      <c r="B218" s="34" t="inlineStr">
        <is>
          <t>2030-10-30</t>
        </is>
      </c>
      <c r="C218" s="86">
        <f>F217</f>
        <v/>
      </c>
      <c r="D218" s="11">
        <f>MAX(0,C218*$C$147/12)</f>
        <v/>
      </c>
      <c r="E218" s="11">
        <f>MAX(0,MIN(C218,$C$148-D218))</f>
        <v/>
      </c>
      <c r="F218" s="11">
        <f>MAX(0,C218-E218)</f>
        <v/>
      </c>
    </row>
    <row r="219">
      <c r="A219" s="34" t="n">
        <v>77</v>
      </c>
      <c r="B219" s="34" t="inlineStr">
        <is>
          <t>2030-11-30</t>
        </is>
      </c>
      <c r="C219" s="86">
        <f>F218</f>
        <v/>
      </c>
      <c r="D219" s="11">
        <f>MAX(0,C219*$C$147/12)</f>
        <v/>
      </c>
      <c r="E219" s="11">
        <f>MAX(0,MIN(C219,$C$148-D219))</f>
        <v/>
      </c>
      <c r="F219" s="11">
        <f>MAX(0,C219-E219)</f>
        <v/>
      </c>
    </row>
    <row r="220">
      <c r="A220" s="34" t="n">
        <v>78</v>
      </c>
      <c r="B220" s="34" t="inlineStr">
        <is>
          <t>2030-12-30</t>
        </is>
      </c>
      <c r="C220" s="86">
        <f>F219</f>
        <v/>
      </c>
      <c r="D220" s="11">
        <f>MAX(0,C220*$C$147/12)</f>
        <v/>
      </c>
      <c r="E220" s="11">
        <f>MAX(0,MIN(C220,$C$148-D220))</f>
        <v/>
      </c>
      <c r="F220" s="11">
        <f>MAX(0,C220-E220)</f>
        <v/>
      </c>
    </row>
    <row r="221">
      <c r="A221" s="34" t="n">
        <v>79</v>
      </c>
      <c r="B221" s="34" t="inlineStr">
        <is>
          <t>2031-01-30</t>
        </is>
      </c>
      <c r="C221" s="86">
        <f>F220</f>
        <v/>
      </c>
      <c r="D221" s="11">
        <f>MAX(0,C221*$C$147/12)</f>
        <v/>
      </c>
      <c r="E221" s="11">
        <f>MAX(0,MIN(C221,$C$148-D221))</f>
        <v/>
      </c>
      <c r="F221" s="11">
        <f>MAX(0,C221-E221)</f>
        <v/>
      </c>
    </row>
    <row r="222">
      <c r="A222" s="34" t="n">
        <v>80</v>
      </c>
      <c r="B222" s="34" t="inlineStr">
        <is>
          <t>2031-02-28</t>
        </is>
      </c>
      <c r="C222" s="86">
        <f>F221</f>
        <v/>
      </c>
      <c r="D222" s="11">
        <f>MAX(0,C222*$C$147/12)</f>
        <v/>
      </c>
      <c r="E222" s="11">
        <f>MAX(0,MIN(C222,$C$148-D222))</f>
        <v/>
      </c>
      <c r="F222" s="11">
        <f>MAX(0,C222-E222)</f>
        <v/>
      </c>
    </row>
    <row r="223">
      <c r="A223" s="34" t="n">
        <v>81</v>
      </c>
      <c r="B223" s="34" t="inlineStr">
        <is>
          <t>2031-03-30</t>
        </is>
      </c>
      <c r="C223" s="86">
        <f>F222</f>
        <v/>
      </c>
      <c r="D223" s="11">
        <f>MAX(0,C223*$C$147/12)</f>
        <v/>
      </c>
      <c r="E223" s="11">
        <f>MAX(0,MIN(C223,$C$148-D223))</f>
        <v/>
      </c>
      <c r="F223" s="11">
        <f>MAX(0,C223-E223)</f>
        <v/>
      </c>
    </row>
    <row r="224">
      <c r="A224" s="34" t="n">
        <v>82</v>
      </c>
      <c r="B224" s="34" t="inlineStr">
        <is>
          <t>2031-04-30</t>
        </is>
      </c>
      <c r="C224" s="86">
        <f>F223</f>
        <v/>
      </c>
      <c r="D224" s="11">
        <f>MAX(0,C224*$C$147/12)</f>
        <v/>
      </c>
      <c r="E224" s="11">
        <f>MAX(0,MIN(C224,$C$148-D224))</f>
        <v/>
      </c>
      <c r="F224" s="11">
        <f>MAX(0,C224-E224)</f>
        <v/>
      </c>
    </row>
    <row r="225">
      <c r="A225" s="34" t="n">
        <v>83</v>
      </c>
      <c r="B225" s="34" t="inlineStr">
        <is>
          <t>2031-05-30</t>
        </is>
      </c>
      <c r="C225" s="86">
        <f>F224</f>
        <v/>
      </c>
      <c r="D225" s="11">
        <f>MAX(0,C225*$C$147/12)</f>
        <v/>
      </c>
      <c r="E225" s="11">
        <f>MAX(0,MIN(C225,$C$148-D225))</f>
        <v/>
      </c>
      <c r="F225" s="11">
        <f>MAX(0,C225-E225)</f>
        <v/>
      </c>
    </row>
    <row r="226">
      <c r="A226" s="34" t="n">
        <v>84</v>
      </c>
      <c r="B226" s="34" t="inlineStr">
        <is>
          <t>2031-06-30</t>
        </is>
      </c>
      <c r="C226" s="86">
        <f>F225</f>
        <v/>
      </c>
      <c r="D226" s="11">
        <f>MAX(0,C226*$C$147/12)</f>
        <v/>
      </c>
      <c r="E226" s="11">
        <f>MAX(0,MIN(C226,$C$148-D226))</f>
        <v/>
      </c>
      <c r="F226" s="11">
        <f>MAX(0,C226-E226)</f>
        <v/>
      </c>
    </row>
    <row r="229">
      <c r="A229" s="15" t="inlineStr">
        <is>
          <t>COMBINED TOTALS CHECK</t>
        </is>
      </c>
    </row>
    <row r="230">
      <c r="B230" t="inlineStr">
        <is>
          <t>Sum of Remaining Balances</t>
        </is>
      </c>
      <c r="C230" s="127">
        <f>C18+C81+C146</f>
        <v/>
      </c>
    </row>
    <row r="231">
      <c r="B231" t="inlineStr">
        <is>
          <t>Sum of Monthly Payments</t>
        </is>
      </c>
      <c r="C231" s="127">
        <f>C20+C83+C148</f>
        <v/>
      </c>
    </row>
    <row r="232">
      <c r="B232" t="inlineStr">
        <is>
          <t>Balance Variance (must be 0)</t>
        </is>
      </c>
      <c r="C232" s="19">
        <f>C7-C230</f>
        <v/>
      </c>
    </row>
    <row r="233">
      <c r="B233" t="inlineStr">
        <is>
          <t>Payment Variance (must be 0)</t>
        </is>
      </c>
      <c r="C233" s="19">
        <f>C8-C231</f>
        <v/>
      </c>
    </row>
  </sheetData>
  <mergeCells count="12">
    <mergeCell ref="A73:F73"/>
    <mergeCell ref="A85:F85"/>
    <mergeCell ref="A10:F10"/>
    <mergeCell ref="A138:F138"/>
    <mergeCell ref="A1:F1"/>
    <mergeCell ref="A5:F5"/>
    <mergeCell ref="A150:F150"/>
    <mergeCell ref="A229:F229"/>
    <mergeCell ref="A22:F22"/>
    <mergeCell ref="A92:F92"/>
    <mergeCell ref="A157:F157"/>
    <mergeCell ref="A29:F29"/>
  </mergeCells>
  <pageMargins left="0.75" right="0.75" top="1" bottom="1" header="0.5" footer="0.5"/>
  <legacyDrawing xmlns:r="http://schemas.openxmlformats.org/officeDocument/2006/relationships" r:id="anysvml"/>
</worksheet>
</file>

<file path=xl/worksheets/sheet22.xml><?xml version="1.0" encoding="utf-8"?>
<worksheet xmlns="http://schemas.openxmlformats.org/spreadsheetml/2006/main">
  <sheetPr>
    <tabColor rgb="001A237E"/>
    <outlinePr summaryBelow="1" summaryRight="1"/>
    <pageSetUpPr/>
  </sheetPr>
  <dimension ref="A1:I76"/>
  <sheetViews>
    <sheetView workbookViewId="0">
      <pane xSplit="2" ySplit="2" topLeftCell="C3" activePane="bottomRight" state="frozen"/>
      <selection pane="top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0" customWidth="1" min="1" max="1"/>
    <col width="3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>
      <c r="B1" s="128" t="inlineStr">
        <is>
          <t>Balance Sheet</t>
        </is>
      </c>
    </row>
    <row r="2">
      <c r="C2" s="49" t="inlineStr">
        <is>
          <t>2021A</t>
        </is>
      </c>
      <c r="D2" s="49" t="inlineStr">
        <is>
          <t>2022A</t>
        </is>
      </c>
      <c r="E2" s="49" t="inlineStr">
        <is>
          <t>2023A</t>
        </is>
      </c>
      <c r="F2" s="49" t="inlineStr">
        <is>
          <t>2024A</t>
        </is>
      </c>
      <c r="G2" s="49" t="inlineStr">
        <is>
          <t>2025A</t>
        </is>
      </c>
      <c r="H2" s="49" t="inlineStr">
        <is>
          <t>2026E</t>
        </is>
      </c>
      <c r="I2" s="49" t="inlineStr">
        <is>
          <t>2027E</t>
        </is>
      </c>
    </row>
    <row r="3">
      <c r="A3" s="129" t="inlineStr">
        <is>
          <t>ASSETS</t>
        </is>
      </c>
      <c r="B3" s="78" t="n"/>
      <c r="C3" s="78" t="n"/>
      <c r="D3" s="78" t="n"/>
      <c r="E3" s="78" t="n"/>
      <c r="F3" s="78" t="n"/>
      <c r="G3" s="78" t="n"/>
    </row>
    <row r="4">
      <c r="B4" s="130" t="inlineStr">
        <is>
          <t>Current Assets:</t>
        </is>
      </c>
    </row>
    <row r="5">
      <c r="B5" s="131" t="inlineStr">
        <is>
          <t>Cash &amp; Cash Equivalents</t>
        </is>
      </c>
      <c r="C5" s="132">
        <f>1133547</f>
        <v/>
      </c>
      <c r="D5" s="132">
        <f>2799393</f>
        <v/>
      </c>
      <c r="E5" s="132">
        <f>3163343</f>
        <v/>
      </c>
      <c r="F5" s="132">
        <f>2666062</f>
        <v/>
      </c>
      <c r="G5" s="132">
        <f>1357280</f>
        <v/>
      </c>
      <c r="H5" s="118">
        <f>'Cash Flow'!H42</f>
        <v/>
      </c>
      <c r="I5" s="118">
        <f>'Cash Flow'!I42</f>
        <v/>
      </c>
    </row>
    <row r="6">
      <c r="B6" s="131" t="inlineStr">
        <is>
          <t>Accounts Receivable (net)</t>
        </is>
      </c>
      <c r="C6" s="132">
        <f>7385503</f>
        <v/>
      </c>
      <c r="D6" s="132">
        <f>8473150</f>
        <v/>
      </c>
      <c r="E6" s="132">
        <f>7870744</f>
        <v/>
      </c>
      <c r="F6" s="132">
        <f>8440664</f>
        <v/>
      </c>
      <c r="G6" s="132">
        <f>11392344</f>
        <v/>
      </c>
      <c r="H6" s="118">
        <f>'Income Statement'!G12*(1+CHOOSE(Assumptions!$D$3,Assumptions!C8,Assumptions!D8,Assumptions!E8))*CHOOSE(Assumptions!$D$3,Assumptions!C17,Assumptions!D17,Assumptions!E17)/365</f>
        <v/>
      </c>
      <c r="I6" s="118">
        <f>'Income Statement'!G12*(1+CHOOSE(Assumptions!$D$3,Assumptions!C8,Assumptions!D8,Assumptions!E8))*(1+CHOOSE(Assumptions!$D$3,Assumptions!F9,Assumptions!G9,Assumptions!H9))*CHOOSE(Assumptions!$D$3,Assumptions!F17,Assumptions!G17,Assumptions!H17)/365</f>
        <v/>
      </c>
    </row>
    <row r="7">
      <c r="B7" s="131" t="inlineStr">
        <is>
          <t>Inventories</t>
        </is>
      </c>
      <c r="C7" s="132">
        <f>323662</f>
        <v/>
      </c>
      <c r="D7" s="132">
        <f>500748</f>
        <v/>
      </c>
      <c r="E7" s="132">
        <f>402973</f>
        <v/>
      </c>
      <c r="F7" s="132">
        <f>707586</f>
        <v/>
      </c>
      <c r="G7" s="132">
        <f>1288789</f>
        <v/>
      </c>
      <c r="H7" s="118">
        <f>'Income Statement'!G12*(1+CHOOSE(Assumptions!$D$3,Assumptions!C8,Assumptions!D8,Assumptions!E8))*CHOOSE(Assumptions!$D$3,Assumptions!C12,Assumptions!D12,Assumptions!E12)*CHOOSE(Assumptions!$D$3,Assumptions!C19,Assumptions!D19,Assumptions!E19)/365</f>
        <v/>
      </c>
      <c r="I7" s="118">
        <f>'Income Statement'!G12*(1+CHOOSE(Assumptions!$D$3,Assumptions!C8,Assumptions!D8,Assumptions!E8))*(1+CHOOSE(Assumptions!$D$3,Assumptions!F9,Assumptions!G9,Assumptions!H9))*CHOOSE(Assumptions!$D$3,Assumptions!F12,Assumptions!G12,Assumptions!H12)*CHOOSE(Assumptions!$D$3,Assumptions!F19,Assumptions!G19,Assumptions!H19)/365</f>
        <v/>
      </c>
    </row>
    <row r="8">
      <c r="B8" s="131" t="inlineStr">
        <is>
          <t>Notes Receivable - Current</t>
        </is>
      </c>
      <c r="C8" s="132">
        <f>138705</f>
        <v/>
      </c>
      <c r="D8" s="132">
        <f>109959</f>
        <v/>
      </c>
      <c r="E8" s="132">
        <f>56931</f>
        <v/>
      </c>
      <c r="F8" s="132">
        <f>33141</f>
        <v/>
      </c>
      <c r="G8" s="132">
        <f>4774</f>
        <v/>
      </c>
      <c r="H8" s="176">
        <f>G8</f>
        <v/>
      </c>
      <c r="I8" s="176">
        <f>H8</f>
        <v/>
      </c>
    </row>
    <row r="9">
      <c r="B9" s="131" t="inlineStr">
        <is>
          <t>Prepaid Expenses &amp; Other</t>
        </is>
      </c>
      <c r="C9" s="132">
        <f>645669</f>
        <v/>
      </c>
      <c r="D9" s="132">
        <f>1038207</f>
        <v/>
      </c>
      <c r="E9" s="132">
        <f>1092975</f>
        <v/>
      </c>
      <c r="F9" s="132">
        <f>1157408</f>
        <v/>
      </c>
      <c r="G9" s="132">
        <f>921168</f>
        <v/>
      </c>
      <c r="H9" s="118">
        <f>G9*(1+CHOOSE(Assumptions!$D$3,Assumptions!C8,Assumptions!D8,Assumptions!E8))</f>
        <v/>
      </c>
      <c r="I9" s="118">
        <f>H9*(1+CHOOSE(Assumptions!$D$3,Assumptions!F9,Assumptions!G9,Assumptions!H9))</f>
        <v/>
      </c>
    </row>
    <row r="10">
      <c r="B10" s="131" t="inlineStr">
        <is>
          <t>Other Current Assets</t>
        </is>
      </c>
      <c r="C10" s="132">
        <f>1429465</f>
        <v/>
      </c>
      <c r="D10" s="132">
        <f>0</f>
        <v/>
      </c>
      <c r="E10" s="132">
        <f>0</f>
        <v/>
      </c>
      <c r="F10" s="132">
        <f>0</f>
        <v/>
      </c>
      <c r="G10" s="132">
        <f>731753</f>
        <v/>
      </c>
      <c r="H10" s="176">
        <f>G10</f>
        <v/>
      </c>
      <c r="I10" s="176">
        <f>H10</f>
        <v/>
      </c>
    </row>
    <row r="11">
      <c r="B11" s="130" t="inlineStr">
        <is>
          <t>Total Current Assets</t>
        </is>
      </c>
      <c r="C11" s="133">
        <f>SUM(C5:C10)</f>
        <v/>
      </c>
      <c r="D11" s="133">
        <f>SUM(D5:D10)</f>
        <v/>
      </c>
      <c r="E11" s="133">
        <f>SUM(E5:E10)</f>
        <v/>
      </c>
      <c r="F11" s="133">
        <f>SUM(F5:F10)</f>
        <v/>
      </c>
      <c r="G11" s="133">
        <f>SUM(G5:G10)</f>
        <v/>
      </c>
      <c r="H11" s="176">
        <f>SUM(H5:H10)</f>
        <v/>
      </c>
      <c r="I11" s="176">
        <f>SUM(I5:I10)</f>
        <v/>
      </c>
    </row>
    <row r="13">
      <c r="B13" s="130" t="inlineStr">
        <is>
          <t>Property &amp; Equipment:</t>
        </is>
      </c>
    </row>
    <row r="14">
      <c r="B14" s="131" t="inlineStr">
        <is>
          <t>Revenue Equipment (Gross)</t>
        </is>
      </c>
      <c r="C14" s="132">
        <f>38956688</f>
        <v/>
      </c>
      <c r="D14" s="132">
        <f>48998282</f>
        <v/>
      </c>
      <c r="E14" s="132">
        <f>48911630</f>
        <v/>
      </c>
      <c r="F14" s="132">
        <f>55863523</f>
        <v/>
      </c>
      <c r="G14" s="132">
        <f>62229745</f>
        <v/>
      </c>
      <c r="H14" s="118">
        <f>G14+'Income Statement'!G12*(1+CHOOSE(Assumptions!$D$3,Assumptions!C8,Assumptions!D8,Assumptions!E8))*CHOOSE(Assumptions!$D$3,Assumptions!C26,Assumptions!D26,Assumptions!E26)+CHOOSE(Assumptions!$D$3,Assumptions!C27,Assumptions!D27,Assumptions!E27)</f>
        <v/>
      </c>
      <c r="I14" s="118">
        <f>H14+('Income Statement'!G12*(1+CHOOSE(Assumptions!$D$3,Assumptions!C8,Assumptions!D8,Assumptions!E8)))*(1+CHOOSE(Assumptions!$D$3,Assumptions!F9,Assumptions!G9,Assumptions!H9))*CHOOSE(Assumptions!$D$3,Assumptions!F26,Assumptions!G26,Assumptions!H26)+CHOOSE(Assumptions!$D$3,Assumptions!F27,Assumptions!G27,Assumptions!H27)</f>
        <v/>
      </c>
    </row>
    <row r="15">
      <c r="B15" s="131" t="inlineStr">
        <is>
          <t>Land &amp; Building (Gross)</t>
        </is>
      </c>
      <c r="C15" s="132">
        <f>7963273</f>
        <v/>
      </c>
      <c r="D15" s="132">
        <f>11264183</f>
        <v/>
      </c>
      <c r="E15" s="132">
        <f>11728516</f>
        <v/>
      </c>
      <c r="F15" s="132">
        <f>11728516</f>
        <v/>
      </c>
      <c r="G15" s="132">
        <f>6893901</f>
        <v/>
      </c>
      <c r="H15" s="176">
        <f>G15</f>
        <v/>
      </c>
      <c r="I15" s="176">
        <f>H15</f>
        <v/>
      </c>
    </row>
    <row r="16">
      <c r="B16" s="131" t="inlineStr">
        <is>
          <t>Building Improvements (Gross)</t>
        </is>
      </c>
      <c r="C16" s="132">
        <f>1229677</f>
        <v/>
      </c>
      <c r="D16" s="132">
        <f>4483854</f>
        <v/>
      </c>
      <c r="E16" s="132">
        <f>6304838</f>
        <v/>
      </c>
      <c r="F16" s="132">
        <f>6648595</f>
        <v/>
      </c>
      <c r="G16" s="132">
        <f>14358608</f>
        <v/>
      </c>
      <c r="H16" s="176">
        <f>G16</f>
        <v/>
      </c>
      <c r="I16" s="176">
        <f>H16</f>
        <v/>
      </c>
    </row>
    <row r="17">
      <c r="B17" s="131" t="inlineStr">
        <is>
          <t>Furniture &amp; Office Equipment (Gross)</t>
        </is>
      </c>
      <c r="C17" s="132">
        <f>487971</f>
        <v/>
      </c>
      <c r="D17" s="132">
        <f>557403</f>
        <v/>
      </c>
      <c r="E17" s="132">
        <f>563949</f>
        <v/>
      </c>
      <c r="F17" s="132">
        <f>716558</f>
        <v/>
      </c>
      <c r="G17" s="132">
        <f>1155217</f>
        <v/>
      </c>
      <c r="H17" s="176">
        <f>G17</f>
        <v/>
      </c>
      <c r="I17" s="176">
        <f>H17</f>
        <v/>
      </c>
    </row>
    <row r="18">
      <c r="B18" s="131" t="inlineStr">
        <is>
          <t>Software &amp; Computer Equipment (Gross)</t>
        </is>
      </c>
      <c r="C18" s="132">
        <f>1094656</f>
        <v/>
      </c>
      <c r="D18" s="132">
        <f>1604804</f>
        <v/>
      </c>
      <c r="E18" s="132">
        <f>1836034</f>
        <v/>
      </c>
      <c r="F18" s="132">
        <f>2364579</f>
        <v/>
      </c>
      <c r="G18" s="132">
        <f>0</f>
        <v/>
      </c>
      <c r="H18" s="176">
        <f>G18</f>
        <v/>
      </c>
      <c r="I18" s="176">
        <f>H18</f>
        <v/>
      </c>
    </row>
    <row r="19">
      <c r="B19" s="131" t="inlineStr">
        <is>
          <t>Vehicles (Gross)</t>
        </is>
      </c>
      <c r="C19" s="132">
        <f>226308</f>
        <v/>
      </c>
      <c r="D19" s="132">
        <f>241308</f>
        <v/>
      </c>
      <c r="E19" s="132">
        <f>431742</f>
        <v/>
      </c>
      <c r="F19" s="132">
        <f>599966</f>
        <v/>
      </c>
      <c r="G19" s="132">
        <f>0</f>
        <v/>
      </c>
      <c r="H19" s="176">
        <f>G19</f>
        <v/>
      </c>
      <c r="I19" s="176">
        <f>H19</f>
        <v/>
      </c>
    </row>
    <row r="20">
      <c r="B20" s="131" t="inlineStr">
        <is>
          <t>Equipment - Other (Gross)</t>
        </is>
      </c>
      <c r="C20" s="132">
        <f>0</f>
        <v/>
      </c>
      <c r="D20" s="132">
        <f>0</f>
        <v/>
      </c>
      <c r="E20" s="132">
        <f>0</f>
        <v/>
      </c>
      <c r="F20" s="132">
        <f>0</f>
        <v/>
      </c>
      <c r="G20" s="132">
        <f>4262963</f>
        <v/>
      </c>
      <c r="H20" s="176">
        <f>G20</f>
        <v/>
      </c>
      <c r="I20" s="176">
        <f>H20</f>
        <v/>
      </c>
    </row>
    <row r="21">
      <c r="B21" s="131" t="inlineStr">
        <is>
          <t>Construction in Progress</t>
        </is>
      </c>
      <c r="C21" s="132">
        <f>1022054</f>
        <v/>
      </c>
      <c r="D21" s="132">
        <f>641441</f>
        <v/>
      </c>
      <c r="E21" s="132">
        <f>141673</f>
        <v/>
      </c>
      <c r="F21" s="132">
        <f>35000</f>
        <v/>
      </c>
      <c r="G21" s="132">
        <f>0</f>
        <v/>
      </c>
      <c r="H21" s="176">
        <f>G21</f>
        <v/>
      </c>
      <c r="I21" s="176">
        <f>H21</f>
        <v/>
      </c>
    </row>
    <row r="22">
      <c r="B22" s="130" t="inlineStr">
        <is>
          <t>Gross Property &amp; Equipment</t>
        </is>
      </c>
      <c r="C22" s="133">
        <f>SUM(C14:C21)</f>
        <v/>
      </c>
      <c r="D22" s="133">
        <f>SUM(D14:D21)</f>
        <v/>
      </c>
      <c r="E22" s="133">
        <f>SUM(E14:E21)</f>
        <v/>
      </c>
      <c r="F22" s="133">
        <f>SUM(F14:F21)</f>
        <v/>
      </c>
      <c r="G22" s="133">
        <f>SUM(G14:G21)</f>
        <v/>
      </c>
      <c r="H22" s="176">
        <f>SUM(H14:H21)</f>
        <v/>
      </c>
      <c r="I22" s="176">
        <f>SUM(I14:I21)</f>
        <v/>
      </c>
    </row>
    <row r="23">
      <c r="B23" s="131" t="inlineStr">
        <is>
          <t>Less: Accumulated Depreciation</t>
        </is>
      </c>
      <c r="C23" s="132">
        <f>-17757832</f>
        <v/>
      </c>
      <c r="D23" s="132">
        <f>-20259372</f>
        <v/>
      </c>
      <c r="E23" s="132">
        <f>-18346722</f>
        <v/>
      </c>
      <c r="F23" s="132">
        <f>-25657614</f>
        <v/>
      </c>
      <c r="G23" s="132">
        <f>-32397880</f>
        <v/>
      </c>
      <c r="H23" s="118">
        <f>G23-H22*CHOOSE(Assumptions!$D$3,Assumptions!C14,Assumptions!D14,Assumptions!E14)</f>
        <v/>
      </c>
      <c r="I23" s="118">
        <f>H23-I22*CHOOSE(Assumptions!$D$3,Assumptions!F14,Assumptions!G14,Assumptions!H14)</f>
        <v/>
      </c>
    </row>
    <row r="24">
      <c r="B24" s="130" t="inlineStr">
        <is>
          <t>Net Property &amp; Equipment</t>
        </is>
      </c>
      <c r="C24" s="133">
        <f>C22+C23</f>
        <v/>
      </c>
      <c r="D24" s="133">
        <f>D22+D23</f>
        <v/>
      </c>
      <c r="E24" s="133">
        <f>E22+E23</f>
        <v/>
      </c>
      <c r="F24" s="133">
        <f>F22+F23</f>
        <v/>
      </c>
      <c r="G24" s="133">
        <f>G22+G23</f>
        <v/>
      </c>
      <c r="H24" s="176">
        <f>H22+H23</f>
        <v/>
      </c>
      <c r="I24" s="176">
        <f>I22+I23</f>
        <v/>
      </c>
    </row>
    <row r="26">
      <c r="B26" s="130" t="inlineStr">
        <is>
          <t>Right-of-Use Assets (ASC 842):</t>
        </is>
      </c>
    </row>
    <row r="27">
      <c r="B27" s="131" t="inlineStr">
        <is>
          <t>Operating Lease ROU Assets</t>
        </is>
      </c>
      <c r="C27" s="132">
        <f>0</f>
        <v/>
      </c>
      <c r="D27" s="132">
        <f>12581530</f>
        <v/>
      </c>
      <c r="E27" s="132">
        <f>12800034</f>
        <v/>
      </c>
      <c r="F27" s="132">
        <f>8709655</f>
        <v/>
      </c>
      <c r="G27" s="132">
        <f>5381185</f>
        <v/>
      </c>
      <c r="H27" s="176">
        <f>G27*0.8</f>
        <v/>
      </c>
      <c r="I27" s="176">
        <f>H27*0.8</f>
        <v/>
      </c>
    </row>
    <row r="28">
      <c r="B28" s="131" t="inlineStr">
        <is>
          <t>Finance Lease ROU Assets (net)</t>
        </is>
      </c>
      <c r="C28" s="132">
        <f>0</f>
        <v/>
      </c>
      <c r="D28" s="132">
        <f>0</f>
        <v/>
      </c>
      <c r="E28" s="132">
        <f>0</f>
        <v/>
      </c>
      <c r="F28" s="132">
        <f>0</f>
        <v/>
      </c>
      <c r="G28" s="132">
        <f>0</f>
        <v/>
      </c>
      <c r="H28" s="176">
        <f>G28</f>
        <v/>
      </c>
      <c r="I28" s="176">
        <f>H28</f>
        <v/>
      </c>
    </row>
    <row r="29">
      <c r="B29" s="130" t="inlineStr">
        <is>
          <t>Total Right-of-Use Assets</t>
        </is>
      </c>
      <c r="C29" s="133">
        <f>SUM(C27:C28)</f>
        <v/>
      </c>
      <c r="D29" s="133">
        <f>SUM(D27:D28)</f>
        <v/>
      </c>
      <c r="E29" s="133">
        <f>SUM(E27:E28)</f>
        <v/>
      </c>
      <c r="F29" s="133">
        <f>SUM(F27:F28)</f>
        <v/>
      </c>
      <c r="G29" s="133">
        <f>SUM(G27:G28)</f>
        <v/>
      </c>
      <c r="H29" s="176">
        <f>SUM(H27:H28)</f>
        <v/>
      </c>
      <c r="I29" s="176">
        <f>SUM(I27:I28)</f>
        <v/>
      </c>
    </row>
    <row r="31">
      <c r="B31" s="130" t="inlineStr">
        <is>
          <t>Other Long-Term Assets:</t>
        </is>
      </c>
    </row>
    <row r="32">
      <c r="B32" s="131" t="inlineStr">
        <is>
          <t>Notes Receivable - Long-Term</t>
        </is>
      </c>
      <c r="C32" s="132">
        <f>66331</f>
        <v/>
      </c>
      <c r="D32" s="132">
        <f>14694</f>
        <v/>
      </c>
      <c r="E32" s="132">
        <f>67319</f>
        <v/>
      </c>
      <c r="F32" s="132">
        <f>96002</f>
        <v/>
      </c>
      <c r="G32" s="132">
        <f>200000</f>
        <v/>
      </c>
      <c r="H32" s="176">
        <f>G32</f>
        <v/>
      </c>
      <c r="I32" s="176">
        <f>H32</f>
        <v/>
      </c>
    </row>
    <row r="33">
      <c r="B33" s="131" t="inlineStr">
        <is>
          <t>Notes Receivable - Related Party</t>
        </is>
      </c>
      <c r="C33" s="132">
        <f>1676360</f>
        <v/>
      </c>
      <c r="D33" s="132">
        <f>2830207</f>
        <v/>
      </c>
      <c r="E33" s="132">
        <f>1122958</f>
        <v/>
      </c>
      <c r="F33" s="132">
        <f>1816128</f>
        <v/>
      </c>
      <c r="G33" s="132">
        <f>1398231</f>
        <v/>
      </c>
      <c r="H33" s="176">
        <f>G33</f>
        <v/>
      </c>
      <c r="I33" s="176">
        <f>H33</f>
        <v/>
      </c>
    </row>
    <row r="34">
      <c r="B34" s="131" t="inlineStr">
        <is>
          <t>Other Assets</t>
        </is>
      </c>
      <c r="C34" s="132">
        <f>293419</f>
        <v/>
      </c>
      <c r="D34" s="132">
        <f>480566</f>
        <v/>
      </c>
      <c r="E34" s="132">
        <f>494665</f>
        <v/>
      </c>
      <c r="F34" s="132">
        <f>575694</f>
        <v/>
      </c>
      <c r="G34" s="132">
        <f>534038</f>
        <v/>
      </c>
      <c r="H34" s="176">
        <f>G34</f>
        <v/>
      </c>
      <c r="I34" s="176">
        <f>H34</f>
        <v/>
      </c>
    </row>
    <row r="35">
      <c r="B35" s="131" t="inlineStr">
        <is>
          <t>Investments - Noncurrent</t>
        </is>
      </c>
      <c r="C35" s="132">
        <f>166280</f>
        <v/>
      </c>
      <c r="D35" s="132">
        <f>0</f>
        <v/>
      </c>
      <c r="E35" s="132">
        <f>0</f>
        <v/>
      </c>
      <c r="F35" s="132">
        <f>0</f>
        <v/>
      </c>
      <c r="G35" s="132">
        <f>0</f>
        <v/>
      </c>
      <c r="H35" s="176">
        <f>G35</f>
        <v/>
      </c>
      <c r="I35" s="176">
        <f>H35</f>
        <v/>
      </c>
    </row>
    <row r="36">
      <c r="B36" s="131" t="inlineStr">
        <is>
          <t>Derivative Instruments</t>
        </is>
      </c>
      <c r="C36" s="132">
        <f>41301</f>
        <v/>
      </c>
      <c r="D36" s="132">
        <f>292274</f>
        <v/>
      </c>
      <c r="E36" s="132">
        <f>244467</f>
        <v/>
      </c>
      <c r="F36" s="132">
        <f>249019</f>
        <v/>
      </c>
      <c r="G36" s="132">
        <f>0</f>
        <v/>
      </c>
      <c r="H36" s="176">
        <f>G36</f>
        <v/>
      </c>
      <c r="I36" s="176">
        <f>H36</f>
        <v/>
      </c>
    </row>
    <row r="37">
      <c r="B37" s="130" t="inlineStr">
        <is>
          <t>Total Other Long-Term Assets</t>
        </is>
      </c>
      <c r="C37" s="133">
        <f>SUM(C32:C36)</f>
        <v/>
      </c>
      <c r="D37" s="133">
        <f>SUM(D32:D36)</f>
        <v/>
      </c>
      <c r="E37" s="133">
        <f>SUM(E32:E36)</f>
        <v/>
      </c>
      <c r="F37" s="133">
        <f>SUM(F32:F36)</f>
        <v/>
      </c>
      <c r="G37" s="133">
        <f>SUM(G32:G36)</f>
        <v/>
      </c>
      <c r="H37" s="176">
        <f>SUM(H32:H36)</f>
        <v/>
      </c>
      <c r="I37" s="176">
        <f>SUM(I32:I36)</f>
        <v/>
      </c>
    </row>
    <row r="39">
      <c r="B39" s="130" t="inlineStr">
        <is>
          <t>TOTAL ASSETS</t>
        </is>
      </c>
      <c r="C39" s="134">
        <f>C11+C24+C29+C37</f>
        <v/>
      </c>
      <c r="D39" s="134">
        <f>D11+D24+D29+D37</f>
        <v/>
      </c>
      <c r="E39" s="134">
        <f>E11+E24+E29+E37</f>
        <v/>
      </c>
      <c r="F39" s="134">
        <f>F11+F24+F29+F37</f>
        <v/>
      </c>
      <c r="G39" s="134">
        <f>G11+G24+G29+G37</f>
        <v/>
      </c>
      <c r="H39" s="176">
        <f>H11+H24+H29+H37</f>
        <v/>
      </c>
      <c r="I39" s="176">
        <f>I11+I24+I29+I37</f>
        <v/>
      </c>
    </row>
    <row r="41">
      <c r="A41" s="129" t="inlineStr">
        <is>
          <t>LIABILITIES</t>
        </is>
      </c>
      <c r="B41" s="78" t="n"/>
      <c r="C41" s="78" t="n"/>
      <c r="D41" s="78" t="n"/>
      <c r="E41" s="78" t="n"/>
      <c r="F41" s="78" t="n"/>
      <c r="G41" s="78" t="n"/>
    </row>
    <row r="42">
      <c r="B42" s="130" t="inlineStr">
        <is>
          <t>Current Liabilities:</t>
        </is>
      </c>
    </row>
    <row r="43">
      <c r="B43" s="131" t="inlineStr">
        <is>
          <t>Accounts Payable</t>
        </is>
      </c>
      <c r="C43" s="132">
        <f>3625506</f>
        <v/>
      </c>
      <c r="D43" s="132">
        <f>4834497</f>
        <v/>
      </c>
      <c r="E43" s="132">
        <f>4772540</f>
        <v/>
      </c>
      <c r="F43" s="132">
        <f>5745033</f>
        <v/>
      </c>
      <c r="G43" s="132">
        <f>7975753</f>
        <v/>
      </c>
      <c r="H43" s="118">
        <f>'Income Statement'!G12*(1+CHOOSE(Assumptions!$D$3,Assumptions!C8,Assumptions!D8,Assumptions!E8))*CHOOSE(Assumptions!$D$3,Assumptions!C12,Assumptions!D12,Assumptions!E12)*CHOOSE(Assumptions!$D$3,Assumptions!C18,Assumptions!D18,Assumptions!E18)/365</f>
        <v/>
      </c>
      <c r="I43" s="118">
        <f>('Income Statement'!G12*(1+CHOOSE(Assumptions!$D$3,Assumptions!C8,Assumptions!D8,Assumptions!E8)))*(1+CHOOSE(Assumptions!$D$3,Assumptions!F9,Assumptions!G9,Assumptions!H9))*CHOOSE(Assumptions!$D$3,Assumptions!F12,Assumptions!G12,Assumptions!H12)*CHOOSE(Assumptions!$D$3,Assumptions!F18,Assumptions!G18,Assumptions!H18)/365</f>
        <v/>
      </c>
    </row>
    <row r="44">
      <c r="B44" s="131" t="inlineStr">
        <is>
          <t>Accrued Expenses</t>
        </is>
      </c>
      <c r="C44" s="132">
        <f>1147192</f>
        <v/>
      </c>
      <c r="D44" s="132">
        <f>1402723</f>
        <v/>
      </c>
      <c r="E44" s="132">
        <f>1651174</f>
        <v/>
      </c>
      <c r="F44" s="132">
        <f>1743781</f>
        <v/>
      </c>
      <c r="G44" s="132">
        <f>3244189</f>
        <v/>
      </c>
      <c r="H44" s="118">
        <f>G44*(1+CHOOSE(Assumptions!$D$3,Assumptions!C8,Assumptions!D8,Assumptions!E8))</f>
        <v/>
      </c>
      <c r="I44" s="118">
        <f>H44*(1+CHOOSE(Assumptions!$D$3,Assumptions!F9,Assumptions!G9,Assumptions!H9))</f>
        <v/>
      </c>
    </row>
    <row r="45">
      <c r="B45" s="131" t="inlineStr">
        <is>
          <t>Line of Credit</t>
        </is>
      </c>
      <c r="C45" s="132">
        <f>0</f>
        <v/>
      </c>
      <c r="D45" s="132">
        <f>0</f>
        <v/>
      </c>
      <c r="E45" s="132">
        <f>0</f>
        <v/>
      </c>
      <c r="F45" s="132">
        <f>1650000</f>
        <v/>
      </c>
      <c r="G45" s="132">
        <f>0</f>
        <v/>
      </c>
      <c r="H45" s="176">
        <f>0</f>
        <v/>
      </c>
      <c r="I45" s="176">
        <f>0</f>
        <v/>
      </c>
    </row>
    <row r="46">
      <c r="B46" s="131" t="inlineStr">
        <is>
          <t>Current Portion - Operating Lease</t>
        </is>
      </c>
      <c r="C46" s="132">
        <f>0</f>
        <v/>
      </c>
      <c r="D46" s="132">
        <f>2919943</f>
        <v/>
      </c>
      <c r="E46" s="132">
        <f>3674614</f>
        <v/>
      </c>
      <c r="F46" s="132">
        <f>3681127</f>
        <v/>
      </c>
      <c r="G46" s="132">
        <f>3399668</f>
        <v/>
      </c>
      <c r="H46" s="176">
        <f>G46*0.8</f>
        <v/>
      </c>
      <c r="I46" s="176">
        <f>H46*0.8</f>
        <v/>
      </c>
    </row>
    <row r="47">
      <c r="B47" s="131" t="inlineStr">
        <is>
          <t>Current Portion - Long-Term Debt</t>
        </is>
      </c>
      <c r="C47" s="132">
        <f>3707514</f>
        <v/>
      </c>
      <c r="D47" s="132">
        <f>6774485</f>
        <v/>
      </c>
      <c r="E47" s="132">
        <f>7316102</f>
        <v/>
      </c>
      <c r="F47" s="132">
        <f>9759062</f>
        <v/>
      </c>
      <c r="G47" s="132">
        <f>8871190</f>
        <v/>
      </c>
      <c r="H47" s="118">
        <f>'Debt Schedule'!F36</f>
        <v/>
      </c>
      <c r="I47" s="118">
        <f>'Debt Schedule'!G36</f>
        <v/>
      </c>
    </row>
    <row r="48">
      <c r="B48" s="131" t="inlineStr">
        <is>
          <t>Current Portion - Finance Lease</t>
        </is>
      </c>
      <c r="C48" s="132">
        <f>2393066</f>
        <v/>
      </c>
      <c r="D48" s="132">
        <f>1452548</f>
        <v/>
      </c>
      <c r="E48" s="132">
        <f>1212110</f>
        <v/>
      </c>
      <c r="F48" s="132">
        <f>796978</f>
        <v/>
      </c>
      <c r="G48" s="132">
        <f>0</f>
        <v/>
      </c>
      <c r="H48" s="176">
        <f>MAX(0,G48-G48*0.5)</f>
        <v/>
      </c>
      <c r="I48" s="176">
        <f>MAX(0,H48-H48*0.5)</f>
        <v/>
      </c>
    </row>
    <row r="49">
      <c r="B49" s="130" t="inlineStr">
        <is>
          <t>Total Current Liabilities</t>
        </is>
      </c>
      <c r="C49" s="133">
        <f>SUM(C43:C48)</f>
        <v/>
      </c>
      <c r="D49" s="133">
        <f>SUM(D43:D48)</f>
        <v/>
      </c>
      <c r="E49" s="133">
        <f>SUM(E43:E48)</f>
        <v/>
      </c>
      <c r="F49" s="133">
        <f>SUM(F43:F48)</f>
        <v/>
      </c>
      <c r="G49" s="133">
        <f>SUM(G43:G48)</f>
        <v/>
      </c>
      <c r="H49" s="176">
        <f>SUM(H43:H48)</f>
        <v/>
      </c>
      <c r="I49" s="176">
        <f>SUM(I43:I48)</f>
        <v/>
      </c>
    </row>
    <row r="51">
      <c r="B51" s="130" t="inlineStr">
        <is>
          <t>Long-Term Liabilities:</t>
        </is>
      </c>
    </row>
    <row r="52">
      <c r="B52" s="131" t="inlineStr">
        <is>
          <t>Long-Term Operating Lease Liabilities</t>
        </is>
      </c>
      <c r="C52" s="132">
        <f>0</f>
        <v/>
      </c>
      <c r="D52" s="132">
        <f>10867352</f>
        <v/>
      </c>
      <c r="E52" s="132">
        <f>10140193</f>
        <v/>
      </c>
      <c r="F52" s="132">
        <f>5969475</f>
        <v/>
      </c>
      <c r="G52" s="132">
        <f>2650716</f>
        <v/>
      </c>
      <c r="H52" s="176">
        <f>G52*0.7</f>
        <v/>
      </c>
      <c r="I52" s="176">
        <f>H52*0.7</f>
        <v/>
      </c>
    </row>
    <row r="53">
      <c r="B53" s="131" t="inlineStr">
        <is>
          <t>Long-Term Debt (net of current)</t>
        </is>
      </c>
      <c r="C53" s="132">
        <f>19579255</f>
        <v/>
      </c>
      <c r="D53" s="132">
        <f>30328440</f>
        <v/>
      </c>
      <c r="E53" s="132">
        <f>32854271</f>
        <v/>
      </c>
      <c r="F53" s="132">
        <f>31159126</f>
        <v/>
      </c>
      <c r="G53" s="132">
        <f>38030432</f>
        <v/>
      </c>
      <c r="H53" s="118">
        <f>'Debt Schedule'!F37</f>
        <v/>
      </c>
      <c r="I53" s="118">
        <f>'Debt Schedule'!G37</f>
        <v/>
      </c>
    </row>
    <row r="54">
      <c r="B54" s="131" t="inlineStr">
        <is>
          <t>Long-Term Finance Lease Obligations</t>
        </is>
      </c>
      <c r="C54" s="132">
        <f>3714982</f>
        <v/>
      </c>
      <c r="D54" s="132">
        <f>1857325</f>
        <v/>
      </c>
      <c r="E54" s="132">
        <f>457258</f>
        <v/>
      </c>
      <c r="F54" s="132">
        <f>97028</f>
        <v/>
      </c>
      <c r="G54" s="132">
        <f>120720</f>
        <v/>
      </c>
      <c r="H54" s="176">
        <f>MAX(0,G54-G48*0.5)</f>
        <v/>
      </c>
      <c r="I54" s="176">
        <f>MAX(0,H54-H48*0.5)</f>
        <v/>
      </c>
    </row>
    <row r="55">
      <c r="B55" s="130" t="inlineStr">
        <is>
          <t>Total Long-Term Liabilities</t>
        </is>
      </c>
      <c r="C55" s="133">
        <f>SUM(C52:C54)</f>
        <v/>
      </c>
      <c r="D55" s="133">
        <f>SUM(D52:D54)</f>
        <v/>
      </c>
      <c r="E55" s="133">
        <f>SUM(E52:E54)</f>
        <v/>
      </c>
      <c r="F55" s="133">
        <f>SUM(F52:F54)</f>
        <v/>
      </c>
      <c r="G55" s="133">
        <f>SUM(G52:G54)</f>
        <v/>
      </c>
      <c r="H55" s="176">
        <f>SUM(H52:H54)</f>
        <v/>
      </c>
      <c r="I55" s="176">
        <f>SUM(I52:I54)</f>
        <v/>
      </c>
    </row>
    <row r="57">
      <c r="B57" s="130" t="inlineStr">
        <is>
          <t>TOTAL LIABILITIES</t>
        </is>
      </c>
      <c r="C57" s="134">
        <f>C49+C55</f>
        <v/>
      </c>
      <c r="D57" s="134">
        <f>D49+D55</f>
        <v/>
      </c>
      <c r="E57" s="134">
        <f>E49+E55</f>
        <v/>
      </c>
      <c r="F57" s="134">
        <f>F49+F55</f>
        <v/>
      </c>
      <c r="G57" s="134">
        <f>G49+G55</f>
        <v/>
      </c>
      <c r="H57" s="176">
        <f>H49+H55</f>
        <v/>
      </c>
      <c r="I57" s="176">
        <f>I49+I55</f>
        <v/>
      </c>
    </row>
    <row r="59">
      <c r="A59" s="129" t="inlineStr">
        <is>
          <t>STOCKHOLDERS' EQUITY</t>
        </is>
      </c>
      <c r="B59" s="78" t="n"/>
      <c r="C59" s="78" t="n"/>
      <c r="D59" s="78" t="n"/>
      <c r="E59" s="78" t="n"/>
      <c r="F59" s="78" t="n"/>
      <c r="G59" s="78" t="n"/>
    </row>
    <row r="60">
      <c r="B60" s="131" t="inlineStr">
        <is>
          <t>Common Stock</t>
        </is>
      </c>
      <c r="C60" s="132">
        <f>1000</f>
        <v/>
      </c>
      <c r="D60" s="132">
        <f>1000</f>
        <v/>
      </c>
      <c r="E60" s="132">
        <f>1000</f>
        <v/>
      </c>
      <c r="F60" s="132">
        <f>1000</f>
        <v/>
      </c>
      <c r="G60" s="132">
        <f>1000</f>
        <v/>
      </c>
      <c r="H60" s="176">
        <f>G60</f>
        <v/>
      </c>
      <c r="I60" s="176">
        <f>H60</f>
        <v/>
      </c>
    </row>
    <row r="61">
      <c r="B61" s="131" t="inlineStr">
        <is>
          <t>Additional Paid-In Capital</t>
        </is>
      </c>
      <c r="C61" s="132">
        <f>136282</f>
        <v/>
      </c>
      <c r="D61" s="132">
        <f>136282</f>
        <v/>
      </c>
      <c r="E61" s="132">
        <f>136282</f>
        <v/>
      </c>
      <c r="F61" s="132">
        <f>136282</f>
        <v/>
      </c>
      <c r="G61" s="132">
        <f>430103</f>
        <v/>
      </c>
      <c r="H61" s="176">
        <f>G61</f>
        <v/>
      </c>
      <c r="I61" s="176">
        <f>H61</f>
        <v/>
      </c>
    </row>
    <row r="62">
      <c r="B62" s="131" t="inlineStr">
        <is>
          <t>Retained Earnings</t>
        </is>
      </c>
      <c r="C62" s="132">
        <f>12176939</f>
        <v/>
      </c>
      <c r="D62" s="132">
        <f>15785762</f>
        <v/>
      </c>
      <c r="E62" s="132">
        <f>16428058</f>
        <v/>
      </c>
      <c r="F62" s="132">
        <f>15762571</f>
        <v/>
      </c>
      <c r="G62" s="132">
        <f>15587600</f>
        <v/>
      </c>
      <c r="H62" s="118">
        <f>G62+'Income Statement'!H58+H63</f>
        <v/>
      </c>
      <c r="I62" s="118">
        <f>H62+'Income Statement'!I58+I63</f>
        <v/>
      </c>
    </row>
    <row r="63">
      <c r="B63" s="131" t="inlineStr">
        <is>
          <t>Distributions</t>
        </is>
      </c>
      <c r="C63" s="132">
        <f>0</f>
        <v/>
      </c>
      <c r="D63" s="132">
        <f>0</f>
        <v/>
      </c>
      <c r="E63" s="132">
        <f>0</f>
        <v/>
      </c>
      <c r="F63" s="132">
        <f>0</f>
        <v/>
      </c>
      <c r="G63" s="132">
        <f>-599256</f>
        <v/>
      </c>
      <c r="H63" s="118">
        <f>-CHOOSE(Assumptions!$D$3,0,300000,500000)</f>
        <v/>
      </c>
      <c r="I63" s="118">
        <f>-CHOOSE(Assumptions!$D$3,0,350000,600000)</f>
        <v/>
      </c>
    </row>
    <row r="64">
      <c r="B64" s="131" t="inlineStr">
        <is>
          <t>Accumulated Other Comprehensive Income</t>
        </is>
      </c>
      <c r="C64" s="132">
        <f>41301</f>
        <v/>
      </c>
      <c r="D64" s="132">
        <f>292274</f>
        <v/>
      </c>
      <c r="E64" s="132">
        <f>244467</f>
        <v/>
      </c>
      <c r="F64" s="132">
        <f>249019</f>
        <v/>
      </c>
      <c r="G64" s="132">
        <f>0</f>
        <v/>
      </c>
      <c r="H64" s="176">
        <f>G64</f>
        <v/>
      </c>
      <c r="I64" s="176">
        <f>H64</f>
        <v/>
      </c>
    </row>
    <row r="65">
      <c r="B65" s="130" t="inlineStr">
        <is>
          <t>Total Stockholders' Equity</t>
        </is>
      </c>
      <c r="C65" s="133">
        <f>SUM(C60:C64)</f>
        <v/>
      </c>
      <c r="D65" s="133">
        <f>SUM(D60:D64)</f>
        <v/>
      </c>
      <c r="E65" s="133">
        <f>SUM(E60:E64)</f>
        <v/>
      </c>
      <c r="F65" s="133">
        <f>SUM(F60:F64)</f>
        <v/>
      </c>
      <c r="G65" s="133">
        <f>SUM(G60:G64)</f>
        <v/>
      </c>
      <c r="H65" s="176">
        <f>SUM(H60:H64)</f>
        <v/>
      </c>
      <c r="I65" s="176">
        <f>SUM(I60:I64)</f>
        <v/>
      </c>
    </row>
    <row r="67">
      <c r="B67" s="130" t="inlineStr">
        <is>
          <t>TOTAL LIABILITIES &amp; EQUITY</t>
        </is>
      </c>
      <c r="C67" s="135">
        <f>C57+C65</f>
        <v/>
      </c>
      <c r="D67" s="135">
        <f>D57+D65</f>
        <v/>
      </c>
      <c r="E67" s="135">
        <f>E57+E65</f>
        <v/>
      </c>
      <c r="F67" s="135">
        <f>F57+F65</f>
        <v/>
      </c>
      <c r="G67" s="135">
        <f>G57+G65</f>
        <v/>
      </c>
      <c r="H67" s="176">
        <f>H57+H65</f>
        <v/>
      </c>
      <c r="I67" s="176">
        <f>I57+I65</f>
        <v/>
      </c>
    </row>
    <row r="69">
      <c r="A69" s="129" t="inlineStr">
        <is>
          <t>CHECK ROWS</t>
        </is>
      </c>
      <c r="B69" s="78" t="n"/>
      <c r="C69" s="78" t="n"/>
      <c r="D69" s="78" t="n"/>
      <c r="E69" s="78" t="n"/>
      <c r="F69" s="78" t="n"/>
      <c r="G69" s="78" t="n"/>
    </row>
    <row r="70">
      <c r="B70" s="131" t="inlineStr">
        <is>
          <t>Balance Check (Assets - L&amp;E, must be 0)</t>
        </is>
      </c>
      <c r="C70" s="136">
        <f>C39-C67</f>
        <v/>
      </c>
      <c r="D70" s="136">
        <f>D39-D67</f>
        <v/>
      </c>
      <c r="E70" s="136">
        <f>E39-E67</f>
        <v/>
      </c>
      <c r="F70" s="136">
        <f>F39-F67</f>
        <v/>
      </c>
      <c r="G70" s="136">
        <f>G39-G67</f>
        <v/>
      </c>
      <c r="H70" s="25">
        <f>H39-H67</f>
        <v/>
      </c>
      <c r="I70" s="25">
        <f>I39-I67</f>
        <v/>
      </c>
    </row>
    <row r="72">
      <c r="B72" s="131" t="inlineStr">
        <is>
          <t>PP&amp;E Net Check (Gross + Accum Depr - Net, must be 0)</t>
        </is>
      </c>
      <c r="C72" s="136">
        <f>C22+C23-C24</f>
        <v/>
      </c>
      <c r="D72" s="136">
        <f>D22+D23-D24</f>
        <v/>
      </c>
      <c r="E72" s="136">
        <f>E22+E23-E24</f>
        <v/>
      </c>
      <c r="F72" s="136">
        <f>F22+F23-F24</f>
        <v/>
      </c>
      <c r="G72" s="136">
        <f>G22+G23-G24</f>
        <v/>
      </c>
      <c r="H72" s="25">
        <f>H22+H23-H24</f>
        <v/>
      </c>
      <c r="I72" s="25">
        <f>I22+I23-I24</f>
        <v/>
      </c>
    </row>
    <row r="74">
      <c r="B74" s="137" t="inlineStr">
        <is>
          <t>ANALYST REFERENCE</t>
        </is>
      </c>
      <c r="C74" s="6" t="n"/>
      <c r="D74" s="6" t="n"/>
      <c r="E74" s="6" t="n"/>
      <c r="F74" s="6" t="n"/>
      <c r="G74" s="6" t="n"/>
    </row>
    <row r="75">
      <c r="B75" s="131" t="inlineStr">
        <is>
          <t>BS Cash vs CF Ending Cash (data quality)</t>
        </is>
      </c>
      <c r="C75" s="138">
        <f>C5-'Cash Flow'!C42</f>
        <v/>
      </c>
      <c r="D75" s="138">
        <f>D5-'Cash Flow'!D42</f>
        <v/>
      </c>
      <c r="E75" s="138">
        <f>E5-'Cash Flow'!E42</f>
        <v/>
      </c>
      <c r="F75" s="138">
        <f>F5-'Cash Flow'!F42</f>
        <v/>
      </c>
      <c r="G75" s="138">
        <f>G5-'Cash Flow'!G42</f>
        <v/>
      </c>
      <c r="H75" s="176">
        <f>H5-'Cash Flow'!H42</f>
        <v/>
      </c>
      <c r="I75" s="176">
        <f>I5-'Cash Flow'!I42</f>
        <v/>
      </c>
    </row>
    <row r="76">
      <c r="B76" s="131" t="inlineStr">
        <is>
          <t>Net Income Variance (IS NI vs RE Change)</t>
        </is>
      </c>
      <c r="C76" s="138">
        <f>0</f>
        <v/>
      </c>
      <c r="D76" s="138">
        <f>'Income Statement'!D58-(D62-C62)</f>
        <v/>
      </c>
      <c r="E76" s="138">
        <f>'Income Statement'!E58-(E62-D62+E63)</f>
        <v/>
      </c>
      <c r="F76" s="138">
        <f>'Income Statement'!F58-(F62-E62+F63)</f>
        <v/>
      </c>
      <c r="G76" s="138">
        <f>'Income Statement'!G58-(G62-F62+G63)</f>
        <v/>
      </c>
      <c r="H76" s="25">
        <f>('Income Statement'!G12*(1+CHOOSE(Assumptions!$D$3,Assumptions!C8,Assumptions!D8,Assumptions!E8)))*CHOOSE(Assumptions!$D$3,Assumptions!C34,Assumptions!D34,Assumptions!E34)-H22*CHOOSE(Assumptions!$D$3,Assumptions!C14,Assumptions!D14,Assumptions!E14)+'Debt Schedule'!F32-(H62-G62+CHOOSE(Assumptions!$D$3,0,300000,500000))</f>
        <v/>
      </c>
      <c r="I76" s="25">
        <f>(('Income Statement'!G12*(1+CHOOSE(Assumptions!$D$3,Assumptions!C8,Assumptions!D8,Assumptions!E8)))*(1+CHOOSE(Assumptions!$D$3,Assumptions!F9,Assumptions!G9,Assumptions!H9)))*CHOOSE(Assumptions!$D$3,Assumptions!F34,Assumptions!G34,Assumptions!H34)-I22*CHOOSE(Assumptions!$D$3,Assumptions!F14,Assumptions!G14,Assumptions!H14)+'Debt Schedule'!G32-(I62-H62+CHOOSE(Assumptions!$D$3,0,350000,600000))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23.xml><?xml version="1.0" encoding="utf-8"?>
<worksheet xmlns="http://schemas.openxmlformats.org/spreadsheetml/2006/main">
  <sheetPr>
    <tabColor rgb="001565C0"/>
    <outlinePr summaryBelow="1" summaryRight="1"/>
    <pageSetUpPr/>
  </sheetPr>
  <dimension ref="A1:I52"/>
  <sheetViews>
    <sheetView workbookViewId="0">
      <pane xSplit="2" ySplit="2" topLeftCell="C3" activePane="bottomRight" state="frozen"/>
      <selection pane="top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0" customWidth="1" min="1" max="1"/>
    <col width="4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>
      <c r="B1" s="93" t="inlineStr">
        <is>
          <t>Cash Flow Statement</t>
        </is>
      </c>
    </row>
    <row r="2">
      <c r="C2" s="178" t="inlineStr">
        <is>
          <t>2021A</t>
        </is>
      </c>
      <c r="D2" s="178" t="inlineStr">
        <is>
          <t>2022A</t>
        </is>
      </c>
      <c r="E2" s="178" t="inlineStr">
        <is>
          <t>2023A</t>
        </is>
      </c>
      <c r="F2" s="178" t="inlineStr">
        <is>
          <t>2024A</t>
        </is>
      </c>
      <c r="G2" s="178" t="inlineStr">
        <is>
          <t>2025E</t>
        </is>
      </c>
      <c r="H2" s="178" t="inlineStr">
        <is>
          <t>2026E</t>
        </is>
      </c>
      <c r="I2" s="178" t="inlineStr">
        <is>
          <t>2027E</t>
        </is>
      </c>
    </row>
    <row r="3">
      <c r="A3" s="161" t="inlineStr">
        <is>
          <t>OPERATING ACTIVITIES</t>
        </is>
      </c>
      <c r="B3" s="162" t="n"/>
      <c r="C3" s="162" t="n"/>
      <c r="D3" s="162" t="n"/>
      <c r="E3" s="162" t="n"/>
      <c r="F3" s="162" t="n"/>
    </row>
    <row r="4">
      <c r="B4" s="20" t="inlineStr">
        <is>
          <t>Net Income</t>
        </is>
      </c>
      <c r="C4" s="163">
        <f>'Income Statement'!C58</f>
        <v/>
      </c>
      <c r="D4" s="163">
        <f>'Income Statement'!D58</f>
        <v/>
      </c>
      <c r="E4" s="163">
        <f>'Income Statement'!E58</f>
        <v/>
      </c>
      <c r="F4" s="163">
        <f>'Income Statement'!F58</f>
        <v/>
      </c>
      <c r="G4" s="179">
        <f>'Income Statement'!G58</f>
        <v/>
      </c>
      <c r="H4" s="179">
        <f>'Income Statement'!H58</f>
        <v/>
      </c>
      <c r="I4" s="179">
        <f>'Income Statement'!I58</f>
        <v/>
      </c>
    </row>
    <row r="5">
      <c r="B5" s="125" t="inlineStr">
        <is>
          <t>Adjustments for non-cash items:</t>
        </is>
      </c>
    </row>
    <row r="6">
      <c r="B6" t="inlineStr">
        <is>
          <t xml:space="preserve">  Depreciation &amp; Amortization</t>
        </is>
      </c>
      <c r="C6" s="164">
        <f>5003117</f>
        <v/>
      </c>
      <c r="D6" s="164">
        <f>6326609</f>
        <v/>
      </c>
      <c r="E6" s="164">
        <f>7351132</f>
        <v/>
      </c>
      <c r="F6" s="164">
        <f>8110113</f>
        <v/>
      </c>
      <c r="G6" s="179">
        <f>-'Income Statement'!G24</f>
        <v/>
      </c>
      <c r="H6" s="179">
        <f>-'Income Statement'!H24</f>
        <v/>
      </c>
      <c r="I6" s="179">
        <f>-'Income Statement'!I24</f>
        <v/>
      </c>
    </row>
    <row r="7">
      <c r="B7" t="inlineStr">
        <is>
          <t xml:space="preserve">  Gain on Sale of Assets</t>
        </is>
      </c>
      <c r="C7" s="164">
        <f>-248398</f>
        <v/>
      </c>
      <c r="D7" s="164">
        <f>-1378969</f>
        <v/>
      </c>
      <c r="E7" s="164">
        <f>-1712828</f>
        <v/>
      </c>
      <c r="F7" s="164">
        <f>-259386</f>
        <v/>
      </c>
      <c r="G7" s="180">
        <f>0</f>
        <v/>
      </c>
      <c r="H7" s="180">
        <f>0</f>
        <v/>
      </c>
      <c r="I7" s="180">
        <f>0</f>
        <v/>
      </c>
    </row>
    <row r="8">
      <c r="B8" t="inlineStr">
        <is>
          <t xml:space="preserve">  PPP Loan Forgiveness</t>
        </is>
      </c>
      <c r="C8" s="164">
        <f>-1984059</f>
        <v/>
      </c>
      <c r="D8" s="164">
        <f>0</f>
        <v/>
      </c>
      <c r="E8" s="164">
        <f>0</f>
        <v/>
      </c>
      <c r="F8" s="164">
        <f>0</f>
        <v/>
      </c>
      <c r="G8" s="180">
        <f>0</f>
        <v/>
      </c>
      <c r="H8" s="180">
        <f>0</f>
        <v/>
      </c>
      <c r="I8" s="180">
        <f>0</f>
        <v/>
      </c>
    </row>
    <row r="9">
      <c r="B9" t="inlineStr">
        <is>
          <t xml:space="preserve">  Gain on Insurance Recovery</t>
        </is>
      </c>
      <c r="C9" s="164">
        <f>0</f>
        <v/>
      </c>
      <c r="D9" s="164">
        <f>0</f>
        <v/>
      </c>
      <c r="E9" s="164">
        <f>-2669372</f>
        <v/>
      </c>
      <c r="F9" s="164">
        <f>-391353</f>
        <v/>
      </c>
      <c r="G9" s="180">
        <f>0</f>
        <v/>
      </c>
      <c r="H9" s="180">
        <f>0</f>
        <v/>
      </c>
      <c r="I9" s="180">
        <f>0</f>
        <v/>
      </c>
    </row>
    <row r="10">
      <c r="B10" t="inlineStr">
        <is>
          <t xml:space="preserve">  Provision for Credit Losses</t>
        </is>
      </c>
      <c r="C10" s="164">
        <f>0</f>
        <v/>
      </c>
      <c r="D10" s="164">
        <f>0</f>
        <v/>
      </c>
      <c r="E10" s="164">
        <f>141000</f>
        <v/>
      </c>
      <c r="F10" s="164">
        <f>51000</f>
        <v/>
      </c>
      <c r="G10" s="180">
        <f>0</f>
        <v/>
      </c>
      <c r="H10" s="180">
        <f>0</f>
        <v/>
      </c>
      <c r="I10" s="180">
        <f>0</f>
        <v/>
      </c>
    </row>
    <row r="11">
      <c r="B11" t="inlineStr">
        <is>
          <t xml:space="preserve">  Net Investment (Gains) / Losses</t>
        </is>
      </c>
      <c r="C11" s="164">
        <f>-73139</f>
        <v/>
      </c>
      <c r="D11" s="164">
        <f>222979</f>
        <v/>
      </c>
      <c r="E11" s="164">
        <f>222979</f>
        <v/>
      </c>
      <c r="F11" s="164">
        <f>0</f>
        <v/>
      </c>
      <c r="G11" s="180">
        <f>0</f>
        <v/>
      </c>
      <c r="H11" s="180">
        <f>0</f>
        <v/>
      </c>
      <c r="I11" s="180">
        <f>0</f>
        <v/>
      </c>
    </row>
    <row r="12">
      <c r="B12" s="125" t="inlineStr">
        <is>
          <t>Changes in Working Capital:</t>
        </is>
      </c>
    </row>
    <row r="13">
      <c r="B13" t="inlineStr">
        <is>
          <t xml:space="preserve">  Change in Accounts Receivable</t>
        </is>
      </c>
      <c r="C13" s="164">
        <f>-3290721</f>
        <v/>
      </c>
      <c r="D13" s="164">
        <f>-1087647</f>
        <v/>
      </c>
      <c r="E13" s="164">
        <f>461406</f>
        <v/>
      </c>
      <c r="F13" s="164">
        <f>-620920</f>
        <v/>
      </c>
      <c r="G13" s="179">
        <f>-('Balance Sheet'!G6-'Balance Sheet'!F6)</f>
        <v/>
      </c>
      <c r="H13" s="179">
        <f>-(CHOOSE(Assumptions!$D$3,'Income Statement'!G12*(1+Assumptions!C8)*Assumptions!C17/365,'Income Statement'!G12*(1+Assumptions!D8)*Assumptions!D17/365,'Income Statement'!G12*(1+Assumptions!E8)*Assumptions!E17/365)-'Balance Sheet'!G6)</f>
        <v/>
      </c>
      <c r="I13" s="179">
        <f>-(CHOOSE(Assumptions!$D$3,'Income Statement'!G12*(1+Assumptions!C8)*(1+Assumptions!F9)*Assumptions!F17/365,'Income Statement'!G12*(1+Assumptions!D8)*(1+Assumptions!G9)*Assumptions!G17/365,'Income Statement'!G12*(1+Assumptions!E8)*(1+Assumptions!H9)*Assumptions!H17/365)-CHOOSE(Assumptions!$D$3,'Income Statement'!G12*(1+Assumptions!C8)*Assumptions!C17/365,'Income Statement'!G12*(1+Assumptions!D8)*Assumptions!D17/365,'Income Statement'!G12*(1+Assumptions!E8)*Assumptions!E17/365))</f>
        <v/>
      </c>
    </row>
    <row r="14">
      <c r="B14" t="inlineStr">
        <is>
          <t xml:space="preserve">  Change in Inventory</t>
        </is>
      </c>
      <c r="C14" s="164">
        <f>-102791</f>
        <v/>
      </c>
      <c r="D14" s="164">
        <f>-177086</f>
        <v/>
      </c>
      <c r="E14" s="164">
        <f>97775</f>
        <v/>
      </c>
      <c r="F14" s="164">
        <f>-304613</f>
        <v/>
      </c>
      <c r="G14" s="179">
        <f>-('Balance Sheet'!G7-'Balance Sheet'!F7)</f>
        <v/>
      </c>
      <c r="H14" s="179">
        <f>-(CHOOSE(Assumptions!$D$3,'Income Statement'!G12*(1+Assumptions!C8)*Assumptions!C12*Assumptions!C19/365,'Income Statement'!G12*(1+Assumptions!D8)*Assumptions!D12*Assumptions!D19/365,'Income Statement'!G12*(1+Assumptions!E8)*Assumptions!E12*Assumptions!E19/365)-'Balance Sheet'!G7)</f>
        <v/>
      </c>
      <c r="I14" s="179">
        <f>-(CHOOSE(Assumptions!$D$3,'Income Statement'!G12*(1+Assumptions!C8)*(1+Assumptions!F9)*Assumptions!F12*Assumptions!F19/365,'Income Statement'!G12*(1+Assumptions!D8)*(1+Assumptions!G9)*Assumptions!G12*Assumptions!G19/365,'Income Statement'!G12*(1+Assumptions!E8)*(1+Assumptions!H9)*Assumptions!H12*Assumptions!H19/365)-CHOOSE(Assumptions!$D$3,'Income Statement'!G12*(1+Assumptions!C8)*Assumptions!C12*Assumptions!C19/365,'Income Statement'!G12*(1+Assumptions!D8)*Assumptions!D12*Assumptions!D19/365,'Income Statement'!G12*(1+Assumptions!E8)*Assumptions!E12*Assumptions!E19/365))</f>
        <v/>
      </c>
    </row>
    <row r="15">
      <c r="B15" t="inlineStr">
        <is>
          <t xml:space="preserve">  Change in Prepaid Expenses</t>
        </is>
      </c>
      <c r="C15" s="164">
        <f>-302890</f>
        <v/>
      </c>
      <c r="D15" s="164">
        <f>-587017</f>
        <v/>
      </c>
      <c r="E15" s="164">
        <f>-98760</f>
        <v/>
      </c>
      <c r="F15" s="164">
        <f>-145462</f>
        <v/>
      </c>
      <c r="G15" s="179">
        <f>-('Balance Sheet'!G9-'Balance Sheet'!F9)</f>
        <v/>
      </c>
      <c r="H15" s="180">
        <f>0</f>
        <v/>
      </c>
      <c r="I15" s="180">
        <f>0</f>
        <v/>
      </c>
    </row>
    <row r="16">
      <c r="B16" t="inlineStr">
        <is>
          <t xml:space="preserve">  Change in Operating Lease (ROU net)</t>
        </is>
      </c>
      <c r="C16" s="164">
        <f>0</f>
        <v/>
      </c>
      <c r="D16" s="164">
        <f>1205765</f>
        <v/>
      </c>
      <c r="E16" s="164">
        <f>-190992</f>
        <v/>
      </c>
      <c r="F16" s="164">
        <f>-73826</f>
        <v/>
      </c>
      <c r="G16" s="179">
        <f>-('Balance Sheet'!G27-'Balance Sheet'!F27)</f>
        <v/>
      </c>
      <c r="H16" s="180">
        <f>0</f>
        <v/>
      </c>
      <c r="I16" s="180">
        <f>0</f>
        <v/>
      </c>
    </row>
    <row r="17">
      <c r="B17" t="inlineStr">
        <is>
          <t xml:space="preserve">  Change in Accounts Payable</t>
        </is>
      </c>
      <c r="C17" s="164">
        <f>1852155</f>
        <v/>
      </c>
      <c r="D17" s="164">
        <f>1208991</f>
        <v/>
      </c>
      <c r="E17" s="164">
        <f>-61957</f>
        <v/>
      </c>
      <c r="F17" s="164">
        <f>972493</f>
        <v/>
      </c>
      <c r="G17" s="179">
        <f>'Balance Sheet'!G43-'Balance Sheet'!F43</f>
        <v/>
      </c>
      <c r="H17" s="179">
        <f>CHOOSE(Assumptions!$D$3,'Income Statement'!G12*(1+Assumptions!C8)*Assumptions!C12*Assumptions!C18/365,'Income Statement'!G12*(1+Assumptions!D8)*Assumptions!D12*Assumptions!D18/365,'Income Statement'!G12*(1+Assumptions!E8)*Assumptions!E12*Assumptions!E18/365)-'Balance Sheet'!G43</f>
        <v/>
      </c>
      <c r="I17" s="179">
        <f>CHOOSE(Assumptions!$D$3,'Income Statement'!G12*(1+Assumptions!C8)*(1+Assumptions!F9)*Assumptions!F12*Assumptions!F18/365,'Income Statement'!G12*(1+Assumptions!D8)*(1+Assumptions!G9)*Assumptions!G12*Assumptions!G18/365,'Income Statement'!G12*(1+Assumptions!E8)*(1+Assumptions!H9)*Assumptions!H12*Assumptions!H18/365)-CHOOSE(Assumptions!$D$3,'Income Statement'!G12*(1+Assumptions!C8)*Assumptions!C12*Assumptions!C18/365,'Income Statement'!G12*(1+Assumptions!D8)*Assumptions!D12*Assumptions!D18/365,'Income Statement'!G12*(1+Assumptions!E8)*Assumptions!E12*Assumptions!E18/365)</f>
        <v/>
      </c>
    </row>
    <row r="18">
      <c r="B18" t="inlineStr">
        <is>
          <t xml:space="preserve">  Change in Accrued Expenses</t>
        </is>
      </c>
      <c r="C18" s="164">
        <f>370858</f>
        <v/>
      </c>
      <c r="D18" s="164">
        <f>255531</f>
        <v/>
      </c>
      <c r="E18" s="164">
        <f>248451</f>
        <v/>
      </c>
      <c r="F18" s="164">
        <f>92607</f>
        <v/>
      </c>
      <c r="G18" s="179">
        <f>'Balance Sheet'!G44-'Balance Sheet'!F44</f>
        <v/>
      </c>
      <c r="H18" s="179">
        <f>CHOOSE(Assumptions!$D$3,'Balance Sheet'!G44*Assumptions!C8,'Balance Sheet'!G44*Assumptions!D8,'Balance Sheet'!G44*Assumptions!E8)</f>
        <v/>
      </c>
      <c r="I18" s="179">
        <f>CHOOSE(Assumptions!$D$3,H18*Assumptions!F9,H18*Assumptions!G9,H18*Assumptions!H9)</f>
        <v/>
      </c>
    </row>
    <row r="19">
      <c r="B19" s="103" t="inlineStr">
        <is>
          <t>Net Cash from Operating Activities</t>
        </is>
      </c>
      <c r="C19" s="165">
        <f>SUM(C4:C18)</f>
        <v/>
      </c>
      <c r="D19" s="165">
        <f>SUM(D4:D18)</f>
        <v/>
      </c>
      <c r="E19" s="165">
        <f>SUM(E4:E18)</f>
        <v/>
      </c>
      <c r="F19" s="165">
        <f>SUM(F4:F18)</f>
        <v/>
      </c>
      <c r="G19" s="181">
        <f>SUM(G4:G18)</f>
        <v/>
      </c>
      <c r="H19" s="181">
        <f>SUM(H4:H18)</f>
        <v/>
      </c>
      <c r="I19" s="181">
        <f>SUM(I4:I18)</f>
        <v/>
      </c>
    </row>
    <row r="21">
      <c r="A21" s="161" t="inlineStr">
        <is>
          <t>INVESTING ACTIVITIES</t>
        </is>
      </c>
      <c r="B21" s="162" t="n"/>
      <c r="C21" s="162" t="n"/>
      <c r="D21" s="162" t="n"/>
      <c r="E21" s="162" t="n"/>
      <c r="F21" s="162" t="n"/>
    </row>
    <row r="22">
      <c r="B22" t="inlineStr">
        <is>
          <t>Purchases of Property &amp; Equipment</t>
        </is>
      </c>
      <c r="C22" s="164">
        <f>-2314150</f>
        <v/>
      </c>
      <c r="D22" s="164">
        <f>-2858750</f>
        <v/>
      </c>
      <c r="E22" s="164">
        <f>-2568790</f>
        <v/>
      </c>
      <c r="F22" s="164">
        <f>-1604002</f>
        <v/>
      </c>
      <c r="G22" s="179">
        <f>-(CHOOSE(Assumptions!$D$3,Assumptions!C26*'Income Statement'!G12+Assumptions!C27,Assumptions!D26*'Income Statement'!G12+Assumptions!D27,Assumptions!E26*'Income Statement'!G12+Assumptions!E27))</f>
        <v/>
      </c>
      <c r="H22" s="179">
        <f>-(CHOOSE(Assumptions!$D$3,Assumptions!C26*'Income Statement'!G12*(1+Assumptions!C8)+Assumptions!C27,Assumptions!D26*'Income Statement'!G12*(1+Assumptions!D8)+Assumptions!D27,Assumptions!E26*'Income Statement'!G12*(1+Assumptions!E8)+Assumptions!E27))</f>
        <v/>
      </c>
      <c r="I22" s="179">
        <f>-(CHOOSE(Assumptions!$D$3,Assumptions!F26*'Income Statement'!G12*(1+Assumptions!C8)*(1+Assumptions!F9)+Assumptions!F27,Assumptions!G26*'Income Statement'!G12*(1+Assumptions!D8)*(1+Assumptions!G9)+Assumptions!G27,Assumptions!H26*'Income Statement'!G12*(1+Assumptions!E8)*(1+Assumptions!H9)+Assumptions!H27))</f>
        <v/>
      </c>
    </row>
    <row r="23">
      <c r="B23" t="inlineStr">
        <is>
          <t>Proceeds from Sale of Assets</t>
        </is>
      </c>
      <c r="C23" s="164">
        <f>478438</f>
        <v/>
      </c>
      <c r="D23" s="164">
        <f>3253388</f>
        <v/>
      </c>
      <c r="E23" s="164">
        <f>7024433</f>
        <v/>
      </c>
      <c r="F23" s="164">
        <f>779808</f>
        <v/>
      </c>
      <c r="G23" s="180">
        <f>0</f>
        <v/>
      </c>
      <c r="H23" s="180">
        <f>0</f>
        <v/>
      </c>
      <c r="I23" s="180">
        <f>0</f>
        <v/>
      </c>
    </row>
    <row r="24">
      <c r="B24" t="inlineStr">
        <is>
          <t>(Purchase) / Proceeds from Investments</t>
        </is>
      </c>
      <c r="C24" s="164">
        <f>-1522606</f>
        <v/>
      </c>
      <c r="D24" s="164">
        <f>1372766</f>
        <v/>
      </c>
      <c r="E24" s="164">
        <f>-396000</f>
        <v/>
      </c>
      <c r="F24" s="164">
        <f>0</f>
        <v/>
      </c>
      <c r="G24" s="180">
        <f>0</f>
        <v/>
      </c>
      <c r="H24" s="180">
        <f>0</f>
        <v/>
      </c>
      <c r="I24" s="180">
        <f>0</f>
        <v/>
      </c>
    </row>
    <row r="25">
      <c r="B25" t="inlineStr">
        <is>
          <t>Proceeds from Insurance Recovery</t>
        </is>
      </c>
      <c r="C25" s="164">
        <f>0</f>
        <v/>
      </c>
      <c r="D25" s="164">
        <f>0</f>
        <v/>
      </c>
      <c r="E25" s="164">
        <f>2669372</f>
        <v/>
      </c>
      <c r="F25" s="164">
        <f>391353</f>
        <v/>
      </c>
      <c r="G25" s="180">
        <f>0</f>
        <v/>
      </c>
      <c r="H25" s="180">
        <f>0</f>
        <v/>
      </c>
      <c r="I25" s="180">
        <f>0</f>
        <v/>
      </c>
    </row>
    <row r="26">
      <c r="B26" t="inlineStr">
        <is>
          <t>Life Insurance Surrender Proceeds</t>
        </is>
      </c>
      <c r="C26" s="164">
        <f>0</f>
        <v/>
      </c>
      <c r="D26" s="164">
        <f>0</f>
        <v/>
      </c>
      <c r="E26" s="164">
        <f>425893</f>
        <v/>
      </c>
      <c r="F26" s="164">
        <f>0</f>
        <v/>
      </c>
      <c r="G26" s="180">
        <f>0</f>
        <v/>
      </c>
      <c r="H26" s="180">
        <f>0</f>
        <v/>
      </c>
      <c r="I26" s="180">
        <f>0</f>
        <v/>
      </c>
    </row>
    <row r="27">
      <c r="B27" t="inlineStr">
        <is>
          <t>Notes Receivable Activity (net)</t>
        </is>
      </c>
      <c r="C27" s="164">
        <f>91848</f>
        <v/>
      </c>
      <c r="D27" s="164">
        <f>-1073464</f>
        <v/>
      </c>
      <c r="E27" s="164">
        <f>720377</f>
        <v/>
      </c>
      <c r="F27" s="164">
        <f>-698063</f>
        <v/>
      </c>
      <c r="G27" s="180">
        <f>0</f>
        <v/>
      </c>
      <c r="H27" s="180">
        <f>0</f>
        <v/>
      </c>
      <c r="I27" s="180">
        <f>0</f>
        <v/>
      </c>
    </row>
    <row r="28">
      <c r="B28" s="103" t="inlineStr">
        <is>
          <t>Net Cash from Investing Activities</t>
        </is>
      </c>
      <c r="C28" s="165">
        <f>SUM(C22:C27)</f>
        <v/>
      </c>
      <c r="D28" s="165">
        <f>SUM(D22:D27)</f>
        <v/>
      </c>
      <c r="E28" s="165">
        <f>SUM(E22:E27)</f>
        <v/>
      </c>
      <c r="F28" s="165">
        <f>SUM(F22:F27)</f>
        <v/>
      </c>
      <c r="G28" s="181">
        <f>SUM(G22:G27)</f>
        <v/>
      </c>
      <c r="H28" s="181">
        <f>SUM(H22:H27)</f>
        <v/>
      </c>
      <c r="I28" s="181">
        <f>SUM(I22:I27)</f>
        <v/>
      </c>
    </row>
    <row r="30">
      <c r="A30" s="161" t="inlineStr">
        <is>
          <t>FINANCING ACTIVITIES</t>
        </is>
      </c>
      <c r="B30" s="162" t="n"/>
      <c r="C30" s="162" t="n"/>
      <c r="D30" s="162" t="n"/>
      <c r="E30" s="162" t="n"/>
      <c r="F30" s="162" t="n"/>
    </row>
    <row r="31">
      <c r="B31" t="inlineStr">
        <is>
          <t>Borrowings on Line of Credit</t>
        </is>
      </c>
      <c r="C31" s="164">
        <f>0</f>
        <v/>
      </c>
      <c r="D31" s="164">
        <f>0</f>
        <v/>
      </c>
      <c r="E31" s="164">
        <f>3500000</f>
        <v/>
      </c>
      <c r="F31" s="164">
        <f>1650000</f>
        <v/>
      </c>
      <c r="G31" s="180">
        <f>0</f>
        <v/>
      </c>
      <c r="H31" s="180">
        <f>0</f>
        <v/>
      </c>
      <c r="I31" s="180">
        <f>0</f>
        <v/>
      </c>
    </row>
    <row r="32">
      <c r="B32" t="inlineStr">
        <is>
          <t>Payments on Line of Credit</t>
        </is>
      </c>
      <c r="C32" s="164">
        <f>-748874</f>
        <v/>
      </c>
      <c r="D32" s="164">
        <f>0</f>
        <v/>
      </c>
      <c r="E32" s="164">
        <f>-3500000</f>
        <v/>
      </c>
      <c r="F32" s="164">
        <f>0</f>
        <v/>
      </c>
      <c r="G32" s="180">
        <f>0</f>
        <v/>
      </c>
      <c r="H32" s="180">
        <f>0</f>
        <v/>
      </c>
      <c r="I32" s="180">
        <f>0</f>
        <v/>
      </c>
    </row>
    <row r="33">
      <c r="B33" t="inlineStr">
        <is>
          <t>Principal Payments on Long-Term Debt</t>
        </is>
      </c>
      <c r="C33" s="164">
        <f>-3020004</f>
        <v/>
      </c>
      <c r="D33" s="164">
        <f>-5827898</f>
        <v/>
      </c>
      <c r="E33" s="164">
        <f>-11174514</f>
        <v/>
      </c>
      <c r="F33" s="164">
        <f>-7006181</f>
        <v/>
      </c>
      <c r="G33" s="179">
        <f>'Debt Schedule'!E29</f>
        <v/>
      </c>
      <c r="H33" s="179">
        <f>'Debt Schedule'!F29</f>
        <v/>
      </c>
      <c r="I33" s="179">
        <f>'Debt Schedule'!G29</f>
        <v/>
      </c>
    </row>
    <row r="34">
      <c r="B34" t="inlineStr">
        <is>
          <t>Principal Payments on Finance Leases</t>
        </is>
      </c>
      <c r="C34" s="164">
        <f>-2265854</f>
        <v/>
      </c>
      <c r="D34" s="164">
        <f>-2798175</f>
        <v/>
      </c>
      <c r="E34" s="164">
        <f>-1640505</f>
        <v/>
      </c>
      <c r="F34" s="164">
        <f>-775362</f>
        <v/>
      </c>
      <c r="G34" s="182">
        <f>-500000</f>
        <v/>
      </c>
      <c r="H34" s="182">
        <f>-300000</f>
        <v/>
      </c>
      <c r="I34" s="182">
        <f>-200000</f>
        <v/>
      </c>
    </row>
    <row r="35">
      <c r="B35" t="inlineStr">
        <is>
          <t>Distributions to Shareholders</t>
        </is>
      </c>
      <c r="C35" s="164">
        <f>-431221</f>
        <v/>
      </c>
      <c r="D35" s="164">
        <f>0</f>
        <v/>
      </c>
      <c r="E35" s="164">
        <f>-597626</f>
        <v/>
      </c>
      <c r="F35" s="164">
        <f>-400000</f>
        <v/>
      </c>
      <c r="G35" s="182">
        <f>-400000</f>
        <v/>
      </c>
      <c r="H35" s="179">
        <f>CHOOSE(Assumptions!$D$3,-500000,-450000,-400000)</f>
        <v/>
      </c>
      <c r="I35" s="179">
        <f>CHOOSE(Assumptions!$D$3,-550000,-500000,-450000)</f>
        <v/>
      </c>
    </row>
    <row r="36">
      <c r="B36" s="103" t="inlineStr">
        <is>
          <t>Net Cash from Financing Activities</t>
        </is>
      </c>
      <c r="C36" s="165">
        <f>SUM(C31:C35)</f>
        <v/>
      </c>
      <c r="D36" s="165">
        <f>SUM(D31:D35)</f>
        <v/>
      </c>
      <c r="E36" s="165">
        <f>SUM(E31:E35)</f>
        <v/>
      </c>
      <c r="F36" s="165">
        <f>SUM(F31:F35)</f>
        <v/>
      </c>
      <c r="G36" s="181">
        <f>SUM(G31:G35)</f>
        <v/>
      </c>
      <c r="H36" s="181">
        <f>SUM(H31:H35)</f>
        <v/>
      </c>
      <c r="I36" s="181">
        <f>SUM(I31:I35)</f>
        <v/>
      </c>
    </row>
    <row r="38">
      <c r="A38" s="161" t="inlineStr">
        <is>
          <t>RECONCILIATION</t>
        </is>
      </c>
      <c r="B38" s="162" t="n"/>
      <c r="C38" s="162" t="n"/>
      <c r="D38" s="162" t="n"/>
      <c r="E38" s="162" t="n"/>
      <c r="F38" s="162" t="n"/>
    </row>
    <row r="39">
      <c r="B39" s="103" t="inlineStr">
        <is>
          <t>Net Change in Cash</t>
        </is>
      </c>
      <c r="C39" s="165">
        <f>C19+C28+C36</f>
        <v/>
      </c>
      <c r="D39" s="165">
        <f>D19+D28+D36</f>
        <v/>
      </c>
      <c r="E39" s="165">
        <f>E19+E28+E36</f>
        <v/>
      </c>
      <c r="F39" s="165">
        <f>F19+F28+F36</f>
        <v/>
      </c>
      <c r="G39" s="181">
        <f>G19+G28+G36</f>
        <v/>
      </c>
      <c r="H39" s="181">
        <f>H19+H28+H36</f>
        <v/>
      </c>
      <c r="I39" s="181">
        <f>I19+I28+I36</f>
        <v/>
      </c>
    </row>
    <row r="40">
      <c r="B40" t="inlineStr">
        <is>
          <t>Beginning Cash</t>
        </is>
      </c>
      <c r="C40" s="164">
        <f>3499788</f>
        <v/>
      </c>
      <c r="D40" s="164">
        <f>C42</f>
        <v/>
      </c>
      <c r="E40" s="164">
        <f>D42</f>
        <v/>
      </c>
      <c r="F40" s="164">
        <f>E42</f>
        <v/>
      </c>
      <c r="G40" s="180">
        <f>F42</f>
        <v/>
      </c>
      <c r="H40" s="180">
        <f>G42</f>
        <v/>
      </c>
      <c r="I40" s="180">
        <f>H42</f>
        <v/>
      </c>
    </row>
    <row r="41">
      <c r="B41" s="169" t="inlineStr">
        <is>
          <t xml:space="preserve">  Cash Variance / Plug</t>
        </is>
      </c>
      <c r="C41" s="169">
        <f>'Balance Sheet'!C5-(C40+C39)</f>
        <v/>
      </c>
      <c r="D41" s="169">
        <f>'Balance Sheet'!D5-(D40+D39)</f>
        <v/>
      </c>
      <c r="E41" s="169">
        <f>'Balance Sheet'!E5-(E40+E39)</f>
        <v/>
      </c>
      <c r="F41" s="169">
        <f>'Balance Sheet'!F5-(F40+F39)</f>
        <v/>
      </c>
      <c r="G41" s="169">
        <f>'Balance Sheet'!G5-(G40+G39)</f>
        <v/>
      </c>
      <c r="H41" s="169">
        <f>0</f>
        <v/>
      </c>
      <c r="I41" s="169">
        <f>0</f>
        <v/>
      </c>
    </row>
    <row r="42">
      <c r="B42" s="103" t="inlineStr">
        <is>
          <t>Ending Cash</t>
        </is>
      </c>
      <c r="C42" s="249">
        <f>'Balance Sheet'!C5</f>
        <v/>
      </c>
      <c r="D42" s="249">
        <f>'Balance Sheet'!D5</f>
        <v/>
      </c>
      <c r="E42" s="249">
        <f>'Balance Sheet'!E5</f>
        <v/>
      </c>
      <c r="F42" s="249">
        <f>'Balance Sheet'!F5</f>
        <v/>
      </c>
      <c r="G42" s="250">
        <f>'Balance Sheet'!G5</f>
        <v/>
      </c>
      <c r="H42" s="250">
        <f>H40+H39+H41</f>
        <v/>
      </c>
      <c r="I42" s="250">
        <f>I40+I39+I41</f>
        <v/>
      </c>
    </row>
    <row r="44">
      <c r="A44" s="161" t="inlineStr">
        <is>
          <t>CHECK ROWS</t>
        </is>
      </c>
      <c r="B44" s="162" t="n"/>
      <c r="C44" s="162" t="n"/>
      <c r="D44" s="162" t="n"/>
      <c r="E44" s="162" t="n"/>
      <c r="F44" s="162" t="n"/>
    </row>
    <row r="45">
      <c r="B45" s="20" t="inlineStr">
        <is>
          <t>CF Ending Cash vs BS Cash (must be 0)</t>
        </is>
      </c>
      <c r="C45" s="251">
        <f>C42-'Balance Sheet'!C5</f>
        <v/>
      </c>
      <c r="D45" s="251">
        <f>D42-'Balance Sheet'!D5</f>
        <v/>
      </c>
      <c r="E45" s="251">
        <f>E42-'Balance Sheet'!E5</f>
        <v/>
      </c>
      <c r="F45" s="251">
        <f>F42-'Balance Sheet'!F5</f>
        <v/>
      </c>
      <c r="G45" s="252">
        <f>G42-'Balance Sheet'!G5</f>
        <v/>
      </c>
      <c r="H45" s="252">
        <f>H42-'Balance Sheet'!H5</f>
        <v/>
      </c>
      <c r="I45" s="252">
        <f>I42-'Balance Sheet'!I5</f>
        <v/>
      </c>
    </row>
    <row r="46">
      <c r="B46" s="20" t="inlineStr">
        <is>
          <t>NI from CF vs IS (must be 0)</t>
        </is>
      </c>
      <c r="C46" s="166">
        <f>C4-'Income Statement'!C58</f>
        <v/>
      </c>
      <c r="D46" s="166">
        <f>D4-'Income Statement'!D58</f>
        <v/>
      </c>
      <c r="E46" s="166">
        <f>E4-'Income Statement'!E58</f>
        <v/>
      </c>
      <c r="F46" s="166">
        <f>F4-'Income Statement'!F58</f>
        <v/>
      </c>
      <c r="G46" s="183">
        <f>G4-'Income Statement'!G58</f>
        <v/>
      </c>
      <c r="H46" s="183">
        <f>0</f>
        <v/>
      </c>
      <c r="I46" s="183">
        <f>0</f>
        <v/>
      </c>
    </row>
    <row r="48">
      <c r="B48" s="17" t="inlineStr">
        <is>
          <t>ANALYST REFERENCE</t>
        </is>
      </c>
      <c r="C48" s="6" t="n"/>
      <c r="D48" s="6" t="n"/>
      <c r="E48" s="6" t="n"/>
      <c r="F48" s="6" t="n"/>
    </row>
    <row r="49">
      <c r="B49" s="6" t="inlineStr">
        <is>
          <t>Net Cash from Operating Activities Row</t>
        </is>
      </c>
      <c r="C49" s="6" t="n">
        <v>19</v>
      </c>
    </row>
    <row r="50">
      <c r="B50" s="6" t="inlineStr">
        <is>
          <t>Net Cash from Investing Activities Row</t>
        </is>
      </c>
      <c r="C50" s="6" t="n">
        <v>28</v>
      </c>
    </row>
    <row r="51">
      <c r="B51" s="6" t="inlineStr">
        <is>
          <t>Net Cash from Financing Activities Row</t>
        </is>
      </c>
      <c r="C51" s="6" t="n">
        <v>36</v>
      </c>
    </row>
    <row r="52">
      <c r="B52" s="6" t="inlineStr">
        <is>
          <t>Ending Cash Row</t>
        </is>
      </c>
      <c r="C52" s="6" t="n">
        <v>42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24.xml><?xml version="1.0" encoding="utf-8"?>
<worksheet xmlns="http://schemas.openxmlformats.org/spreadsheetml/2006/main">
  <sheetPr>
    <tabColor rgb="001A237E"/>
    <outlinePr summaryBelow="1" summaryRight="1"/>
    <pageSetUpPr/>
  </sheetPr>
  <dimension ref="A1:L52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6" customWidth="1" min="1" max="1"/>
    <col width="32" customWidth="1" min="2" max="2"/>
    <col width="12" customWidth="1" min="3" max="3"/>
    <col width="15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52" customWidth="1" min="12" max="12"/>
  </cols>
  <sheetData>
    <row r="1">
      <c r="A1" s="139" t="inlineStr">
        <is>
          <t>DEBT SCHEDULE - MEIBORG COMPANIES, INC.</t>
        </is>
      </c>
    </row>
    <row r="2">
      <c r="A2" s="140" t="inlineStr">
        <is>
          <t>As of November 30, 2025</t>
        </is>
      </c>
    </row>
    <row r="4">
      <c r="A4" s="141" t="inlineStr">
        <is>
          <t>LENDER SUMMARY</t>
        </is>
      </c>
    </row>
    <row r="5">
      <c r="A5" s="142" t="inlineStr">
        <is>
          <t>#</t>
        </is>
      </c>
      <c r="B5" s="142" t="inlineStr">
        <is>
          <t>Lender Name</t>
        </is>
      </c>
      <c r="C5" s="142" t="inlineStr">
        <is>
          <t># Loans</t>
        </is>
      </c>
      <c r="D5" s="142" t="inlineStr">
        <is>
          <t>Current Balance</t>
        </is>
      </c>
      <c r="E5" s="142" t="inlineStr">
        <is>
          <t>Monthly Payment</t>
        </is>
      </c>
      <c r="F5" s="142" t="inlineStr">
        <is>
          <t>Wtd Avg Rate</t>
        </is>
      </c>
      <c r="G5" s="142" t="inlineStr">
        <is>
          <t>Notes</t>
        </is>
      </c>
    </row>
    <row r="6">
      <c r="A6" s="34" t="n">
        <v>1</v>
      </c>
      <c r="B6" s="34" t="inlineStr">
        <is>
          <t>Wintrust</t>
        </is>
      </c>
      <c r="C6" s="9" t="n">
        <v>1</v>
      </c>
      <c r="D6" s="143">
        <f>'_Wintrust'!B3</f>
        <v/>
      </c>
      <c r="E6" s="143">
        <f>'_Wintrust'!B4</f>
        <v/>
      </c>
      <c r="F6" s="144">
        <f>'_Wintrust'!B5</f>
        <v/>
      </c>
      <c r="G6" s="145" t="inlineStr">
        <is>
          <t>Equipment financing</t>
        </is>
      </c>
    </row>
    <row r="7">
      <c r="A7" s="34" t="n">
        <v>2</v>
      </c>
      <c r="B7" s="34" t="inlineStr">
        <is>
          <t>BMO</t>
        </is>
      </c>
      <c r="C7" s="9" t="n">
        <v>10</v>
      </c>
      <c r="D7" s="143">
        <f>'_BMO'!B5</f>
        <v/>
      </c>
      <c r="E7" s="143">
        <f>'_BMO'!B6</f>
        <v/>
      </c>
      <c r="F7" s="82" t="inlineStr">
        <is>
          <t>N/A</t>
        </is>
      </c>
      <c r="G7" s="145" t="inlineStr">
        <is>
          <t>Equipment financing</t>
        </is>
      </c>
    </row>
    <row r="8">
      <c r="A8" s="34" t="n">
        <v>3</v>
      </c>
      <c r="B8" s="34" t="inlineStr">
        <is>
          <t>Webster Capital Finance</t>
        </is>
      </c>
      <c r="C8" s="9" t="n">
        <v>6</v>
      </c>
      <c r="D8" s="143">
        <f>'_Webster'!C5</f>
        <v/>
      </c>
      <c r="E8" s="143">
        <f>'_Webster'!C6</f>
        <v/>
      </c>
      <c r="F8" s="82" t="inlineStr">
        <is>
          <t>N/A</t>
        </is>
      </c>
      <c r="G8" s="145" t="inlineStr">
        <is>
          <t>Equipment financing</t>
        </is>
      </c>
    </row>
    <row r="9">
      <c r="A9" s="34" t="n">
        <v>4</v>
      </c>
      <c r="B9" s="34" t="inlineStr">
        <is>
          <t>Paccar Financial</t>
        </is>
      </c>
      <c r="C9" s="9" t="n">
        <v>22</v>
      </c>
      <c r="D9" s="143">
        <f>'_Paccar'!C5</f>
        <v/>
      </c>
      <c r="E9" s="143">
        <f>'_Paccar'!C6</f>
        <v/>
      </c>
      <c r="F9" s="82" t="inlineStr">
        <is>
          <t>N/A</t>
        </is>
      </c>
      <c r="G9" s="145" t="inlineStr">
        <is>
          <t>Equipment financing</t>
        </is>
      </c>
    </row>
    <row r="10">
      <c r="A10" s="34" t="n">
        <v>5</v>
      </c>
      <c r="B10" s="34" t="inlineStr">
        <is>
          <t>Wells Fargo</t>
        </is>
      </c>
      <c r="C10" s="9" t="n">
        <v>3</v>
      </c>
      <c r="D10" s="143">
        <f>'_WellsFargo'!C3+'_WellsFargo'!C4+'_WellsFargo'!C5</f>
        <v/>
      </c>
      <c r="E10" s="143">
        <f>'_WellsFargo'!F3+'_WellsFargo'!F4+'_WellsFargo'!F5</f>
        <v/>
      </c>
      <c r="F10" s="82" t="inlineStr">
        <is>
          <t>N/A</t>
        </is>
      </c>
      <c r="G10" s="145" t="inlineStr">
        <is>
          <t>Equipment financing</t>
        </is>
      </c>
    </row>
    <row r="11">
      <c r="A11" s="34" t="n">
        <v>6</v>
      </c>
      <c r="B11" s="34" t="inlineStr">
        <is>
          <t>Huntington Bank</t>
        </is>
      </c>
      <c r="C11" s="9" t="n">
        <v>5</v>
      </c>
      <c r="D11" s="143">
        <f>'_Huntington'!B4</f>
        <v/>
      </c>
      <c r="E11" s="143">
        <f>'_Huntington'!B5</f>
        <v/>
      </c>
      <c r="F11" s="82" t="inlineStr">
        <is>
          <t>N/A</t>
        </is>
      </c>
      <c r="G11" s="145" t="inlineStr">
        <is>
          <t>Equipment financing</t>
        </is>
      </c>
    </row>
    <row r="12">
      <c r="A12" s="34" t="n">
        <v>7</v>
      </c>
      <c r="B12" s="34" t="inlineStr">
        <is>
          <t>Misc Equipment (8 lenders)</t>
        </is>
      </c>
      <c r="C12" s="9" t="n">
        <v>8</v>
      </c>
      <c r="D12" s="143">
        <f>'_MiscEquip'!E13</f>
        <v/>
      </c>
      <c r="E12" s="143">
        <f>'_MiscEquip'!G13</f>
        <v/>
      </c>
      <c r="F12" s="82" t="inlineStr">
        <is>
          <t>N/A</t>
        </is>
      </c>
      <c r="G12" s="145" t="inlineStr">
        <is>
          <t>Ascentium, Amur, Daimler, JX, FPG, BoA, Mercedes</t>
        </is>
      </c>
    </row>
    <row r="13">
      <c r="A13" s="34" t="n">
        <v>8</v>
      </c>
      <c r="B13" s="34" t="inlineStr">
        <is>
          <t>CCG (Commercial Credit)</t>
        </is>
      </c>
      <c r="C13" s="9" t="n">
        <v>3</v>
      </c>
      <c r="D13" s="143">
        <f>'_CCG'!C5</f>
        <v/>
      </c>
      <c r="E13" s="143">
        <f>'_CCG'!C6</f>
        <v/>
      </c>
      <c r="F13" s="82" t="inlineStr">
        <is>
          <t>N/A</t>
        </is>
      </c>
      <c r="G13" s="145" t="inlineStr">
        <is>
          <t>Equipment financing</t>
        </is>
      </c>
    </row>
    <row r="14">
      <c r="A14" s="34" t="n">
        <v>9</v>
      </c>
      <c r="B14" s="34" t="inlineStr">
        <is>
          <t>International Financial</t>
        </is>
      </c>
      <c r="C14" s="9" t="n">
        <v>2</v>
      </c>
      <c r="D14" s="143">
        <f>'_IntlFinancial'!C5</f>
        <v/>
      </c>
      <c r="E14" s="143">
        <f>'_IntlFinancial'!C6</f>
        <v/>
      </c>
      <c r="F14" s="82" t="inlineStr">
        <is>
          <t>N/A</t>
        </is>
      </c>
      <c r="G14" s="145" t="inlineStr">
        <is>
          <t>Equipment financing</t>
        </is>
      </c>
    </row>
    <row r="15">
      <c r="A15" s="34" t="n">
        <v>10</v>
      </c>
      <c r="B15" s="34" t="inlineStr">
        <is>
          <t>Regional Banks (3 lenders)</t>
        </is>
      </c>
      <c r="C15" s="9" t="n">
        <v>3</v>
      </c>
      <c r="D15" s="143">
        <f>'_RegionalBanks'!C5</f>
        <v/>
      </c>
      <c r="E15" s="143">
        <f>'_RegionalBanks'!C6</f>
        <v/>
      </c>
      <c r="F15" s="82" t="inlineStr">
        <is>
          <t>N/A</t>
        </is>
      </c>
      <c r="G15" s="145" t="inlineStr">
        <is>
          <t>Signature, NBH, Peoples Bank</t>
        </is>
      </c>
    </row>
    <row r="16">
      <c r="A16" s="34" t="n">
        <v>11</v>
      </c>
      <c r="B16" s="34" t="inlineStr">
        <is>
          <t>Peapack Capital</t>
        </is>
      </c>
      <c r="C16" s="9" t="n">
        <v>5</v>
      </c>
      <c r="D16" s="143">
        <f>'_Peapack'!C5</f>
        <v/>
      </c>
      <c r="E16" s="143">
        <f>'_Peapack'!C6</f>
        <v/>
      </c>
      <c r="F16" s="82" t="inlineStr">
        <is>
          <t>N/A</t>
        </is>
      </c>
      <c r="G16" s="145" t="inlineStr">
        <is>
          <t>Equipment financing</t>
        </is>
      </c>
    </row>
    <row r="17">
      <c r="A17" s="34" t="n">
        <v>12</v>
      </c>
      <c r="B17" s="34" t="inlineStr">
        <is>
          <t>TriState Capital</t>
        </is>
      </c>
      <c r="C17" s="9" t="n">
        <v>5</v>
      </c>
      <c r="D17" s="143">
        <f>'_TriState'!C5</f>
        <v/>
      </c>
      <c r="E17" s="143">
        <f>'_TriState'!C6</f>
        <v/>
      </c>
      <c r="F17" s="82" t="inlineStr">
        <is>
          <t>N/A</t>
        </is>
      </c>
      <c r="G17" s="145" t="inlineStr">
        <is>
          <t>Equipment financing</t>
        </is>
      </c>
    </row>
    <row r="18">
      <c r="A18" s="34" t="n">
        <v>13</v>
      </c>
      <c r="B18" s="34" t="inlineStr">
        <is>
          <t>Atlantic Union Eq Finance</t>
        </is>
      </c>
      <c r="C18" s="9" t="n">
        <v>3</v>
      </c>
      <c r="D18" s="143">
        <f>'_AtlanticUnion'!C5</f>
        <v/>
      </c>
      <c r="E18" s="143">
        <f>'_AtlanticUnion'!C6</f>
        <v/>
      </c>
      <c r="F18" s="82" t="inlineStr">
        <is>
          <t>N/A</t>
        </is>
      </c>
      <c r="G18" s="145" t="inlineStr">
        <is>
          <t>Equipment financing</t>
        </is>
      </c>
    </row>
    <row r="19">
      <c r="A19" s="34" t="n">
        <v>14</v>
      </c>
      <c r="B19" s="34" t="inlineStr">
        <is>
          <t>Balboa Capital</t>
        </is>
      </c>
      <c r="C19" s="9" t="n">
        <v>1</v>
      </c>
      <c r="D19" s="143">
        <f>'_Balboa'!C5</f>
        <v/>
      </c>
      <c r="E19" s="143">
        <f>'_Balboa'!C6</f>
        <v/>
      </c>
      <c r="F19" s="82" t="inlineStr">
        <is>
          <t>N/A</t>
        </is>
      </c>
      <c r="G19" s="145" t="inlineStr">
        <is>
          <t>Equipment financing</t>
        </is>
      </c>
    </row>
    <row r="20">
      <c r="A20" s="34" t="n">
        <v>15</v>
      </c>
      <c r="B20" s="34" t="inlineStr">
        <is>
          <t>Constellation (Solar)</t>
        </is>
      </c>
      <c r="C20" s="9" t="n">
        <v>2</v>
      </c>
      <c r="D20" s="143">
        <f>'_Constellation'!C5</f>
        <v/>
      </c>
      <c r="E20" s="143">
        <f>'_Constellation'!C6</f>
        <v/>
      </c>
      <c r="F20" s="82" t="inlineStr">
        <is>
          <t>N/A</t>
        </is>
      </c>
      <c r="G20" s="145" t="inlineStr">
        <is>
          <t>0% Interest - Solar financing</t>
        </is>
      </c>
    </row>
    <row r="21">
      <c r="A21" s="34" t="n">
        <v>16</v>
      </c>
      <c r="B21" s="34" t="inlineStr">
        <is>
          <t>Commonwealth (RE)</t>
        </is>
      </c>
      <c r="C21" s="9" t="n">
        <v>2</v>
      </c>
      <c r="D21" s="143">
        <f>'_Commonwealth'!D5</f>
        <v/>
      </c>
      <c r="E21" s="143">
        <f>'_Commonwealth'!D7</f>
        <v/>
      </c>
      <c r="F21" s="82" t="inlineStr">
        <is>
          <t>N/A</t>
        </is>
      </c>
      <c r="G21" s="145" t="inlineStr">
        <is>
          <t>Real Estate - Interest Only</t>
        </is>
      </c>
    </row>
    <row r="22">
      <c r="A22" s="34" t="n">
        <v>17</v>
      </c>
      <c r="B22" s="34" t="inlineStr">
        <is>
          <t>Win Win Loan (RE)</t>
        </is>
      </c>
      <c r="C22" s="9" t="n">
        <v>2</v>
      </c>
      <c r="D22" s="143">
        <f>'_WinWin'!C7</f>
        <v/>
      </c>
      <c r="E22" s="143">
        <f>'_WinWin'!E7</f>
        <v/>
      </c>
      <c r="F22" s="82" t="inlineStr">
        <is>
          <t>N/A</t>
        </is>
      </c>
      <c r="G22" s="145" t="inlineStr">
        <is>
          <t>Real Estate - Interest Only</t>
        </is>
      </c>
    </row>
    <row r="23">
      <c r="A23" s="34" t="n"/>
      <c r="B23" s="146" t="inlineStr">
        <is>
          <t>TOTAL</t>
        </is>
      </c>
      <c r="C23" s="147">
        <f>SUM(C6:C22)</f>
        <v/>
      </c>
      <c r="D23" s="148">
        <f>SUM(D6:D22)</f>
        <v/>
      </c>
      <c r="E23" s="148">
        <f>SUM(E6:E22)</f>
        <v/>
      </c>
      <c r="F23" s="149" t="n"/>
      <c r="G23" s="149" t="n"/>
    </row>
    <row r="25">
      <c r="A25" s="141" t="inlineStr">
        <is>
          <t>ANNUAL DEBT SERVICE SCHEDULE</t>
        </is>
      </c>
    </row>
    <row r="26">
      <c r="A26" s="142" t="inlineStr"/>
      <c r="B26" s="142" t="inlineStr">
        <is>
          <t>Description</t>
        </is>
      </c>
      <c r="C26" s="142" t="inlineStr"/>
      <c r="D26" s="142" t="inlineStr">
        <is>
          <t>2024A</t>
        </is>
      </c>
      <c r="E26" s="142" t="inlineStr">
        <is>
          <t>2025E</t>
        </is>
      </c>
      <c r="F26" s="142" t="inlineStr">
        <is>
          <t>2026E</t>
        </is>
      </c>
      <c r="G26" s="142" t="inlineStr">
        <is>
          <t>2027E</t>
        </is>
      </c>
      <c r="H26" s="142" t="inlineStr"/>
      <c r="I26" s="142" t="inlineStr"/>
      <c r="J26" s="142" t="inlineStr"/>
      <c r="K26" s="142" t="inlineStr"/>
      <c r="L26" s="142" t="inlineStr">
        <is>
          <t>Notes</t>
        </is>
      </c>
    </row>
    <row r="27">
      <c r="B27" s="34" t="inlineStr">
        <is>
          <t>Opening Debt Balance</t>
        </is>
      </c>
      <c r="D27" s="150">
        <f>40918188</f>
        <v/>
      </c>
      <c r="E27" s="143">
        <f>D30</f>
        <v/>
      </c>
      <c r="F27" s="143">
        <f>'Balance Sheet'!G47+'Balance Sheet'!G53</f>
        <v/>
      </c>
      <c r="G27" s="143">
        <f>F30</f>
        <v/>
      </c>
      <c r="L27" s="145" t="inlineStr">
        <is>
          <t>Historical from reviewed FS</t>
        </is>
      </c>
    </row>
    <row r="28">
      <c r="B28" s="34" t="inlineStr">
        <is>
          <t>(+) New Borrowings</t>
        </is>
      </c>
      <c r="D28" s="150">
        <f>0</f>
        <v/>
      </c>
      <c r="E28" s="150">
        <f>0</f>
        <v/>
      </c>
      <c r="F28" s="150">
        <f>0</f>
        <v/>
      </c>
      <c r="G28" s="150">
        <f>0</f>
        <v/>
      </c>
      <c r="L28" s="145" t="inlineStr">
        <is>
          <t>Update with new facility draws</t>
        </is>
      </c>
    </row>
    <row r="29">
      <c r="B29" s="34" t="inlineStr">
        <is>
          <t>(-) Principal Repayments</t>
        </is>
      </c>
      <c r="D29" s="150">
        <f>-7500000</f>
        <v/>
      </c>
      <c r="E29" s="150">
        <f>-10000000</f>
        <v/>
      </c>
      <c r="F29" s="150">
        <f>-10500000</f>
        <v/>
      </c>
      <c r="G29" s="150">
        <f>-10000000</f>
        <v/>
      </c>
      <c r="L29" s="145" t="inlineStr">
        <is>
          <t>Sum of principal from all loan schedules</t>
        </is>
      </c>
    </row>
    <row r="30">
      <c r="B30" s="151" t="inlineStr">
        <is>
          <t>Closing Debt Balance</t>
        </is>
      </c>
      <c r="D30" s="148">
        <f>D27+D28+D29</f>
        <v/>
      </c>
      <c r="E30" s="148">
        <f>E27+E28+E29</f>
        <v/>
      </c>
      <c r="F30" s="148">
        <f>F27+F28+F29</f>
        <v/>
      </c>
      <c r="G30" s="148">
        <f>G27+G28+G29</f>
        <v/>
      </c>
      <c r="L30" s="152" t="inlineStr">
        <is>
          <t>Opening + New Borr + Principal (neg)</t>
        </is>
      </c>
    </row>
    <row r="32">
      <c r="B32" s="151" t="inlineStr">
        <is>
          <t>Interest Expense</t>
        </is>
      </c>
      <c r="D32" s="150">
        <f>-2145851</f>
        <v/>
      </c>
      <c r="E32" s="150">
        <f>-2186957</f>
        <v/>
      </c>
      <c r="F32" s="150">
        <f>-(F27+F30)/2*0.065</f>
        <v/>
      </c>
      <c r="G32" s="150">
        <f>-(G27+G30)/2*0.065</f>
        <v/>
      </c>
      <c r="L32" s="153" t="inlineStr">
        <is>
          <t>Historical: Actual from reviewed FS. Projections: Avg debt * 6.5%</t>
        </is>
      </c>
    </row>
    <row r="34">
      <c r="A34" s="141" t="inlineStr">
        <is>
          <t>DEBT MATURITY CLASSIFICATION</t>
        </is>
      </c>
    </row>
    <row r="35">
      <c r="A35" s="142" t="inlineStr"/>
      <c r="B35" s="142" t="inlineStr">
        <is>
          <t>Description</t>
        </is>
      </c>
      <c r="C35" s="142" t="inlineStr"/>
      <c r="D35" s="142" t="inlineStr">
        <is>
          <t>12/31/2024</t>
        </is>
      </c>
      <c r="E35" s="142" t="inlineStr">
        <is>
          <t>12/31/2025</t>
        </is>
      </c>
      <c r="F35" s="142" t="inlineStr">
        <is>
          <t>12/31/2026</t>
        </is>
      </c>
      <c r="G35" s="142" t="inlineStr">
        <is>
          <t>12/31/2027</t>
        </is>
      </c>
      <c r="H35" s="142" t="inlineStr"/>
      <c r="I35" s="142" t="inlineStr"/>
      <c r="J35" s="142" t="inlineStr"/>
      <c r="K35" s="142" t="inlineStr"/>
      <c r="L35" s="142" t="inlineStr">
        <is>
          <t>Notes</t>
        </is>
      </c>
    </row>
    <row r="36">
      <c r="B36" s="34" t="inlineStr">
        <is>
          <t>Current Portion LT Debt</t>
        </is>
      </c>
      <c r="D36" s="150">
        <f>9759062</f>
        <v/>
      </c>
      <c r="E36" s="150">
        <f>10500000</f>
        <v/>
      </c>
      <c r="F36" s="150">
        <f>MIN(10000000,F30)</f>
        <v/>
      </c>
      <c r="G36" s="150">
        <f>MIN(9500000,G30)</f>
        <v/>
      </c>
      <c r="L36" s="145" t="inlineStr">
        <is>
          <t>Links TO Balance Sheet - Current Liabilities</t>
        </is>
      </c>
    </row>
    <row r="37">
      <c r="B37" s="34" t="inlineStr">
        <is>
          <t>Long-Term Debt (net of current)</t>
        </is>
      </c>
      <c r="D37" s="150">
        <f>D30-D36</f>
        <v/>
      </c>
      <c r="E37" s="143">
        <f>E30-E36</f>
        <v/>
      </c>
      <c r="F37" s="143">
        <f>F30-F36</f>
        <v/>
      </c>
      <c r="G37" s="143">
        <f>G30-G36</f>
        <v/>
      </c>
      <c r="L37" s="145" t="inlineStr">
        <is>
          <t>Links TO Balance Sheet - LT Liabilities</t>
        </is>
      </c>
    </row>
    <row r="38">
      <c r="B38" s="151" t="inlineStr">
        <is>
          <t>Total Debt</t>
        </is>
      </c>
      <c r="D38" s="148">
        <f>D36+D37</f>
        <v/>
      </c>
      <c r="E38" s="148">
        <f>E36+E37</f>
        <v/>
      </c>
      <c r="F38" s="148">
        <f>F36+F37</f>
        <v/>
      </c>
      <c r="G38" s="148">
        <f>G36+G37</f>
        <v/>
      </c>
      <c r="L38" s="149" t="n"/>
    </row>
    <row r="40">
      <c r="B40" s="41" t="inlineStr">
        <is>
          <t>CHECK: Closing = Current + LT (must be 0)</t>
        </is>
      </c>
      <c r="D40" s="154">
        <f>D30-D38</f>
        <v/>
      </c>
      <c r="E40" s="154">
        <f>E30-E38</f>
        <v/>
      </c>
      <c r="F40" s="154">
        <f>F30-F38</f>
        <v/>
      </c>
      <c r="G40" s="154">
        <f>G30-G38</f>
        <v/>
      </c>
      <c r="L40" s="145" t="inlineStr">
        <is>
          <t>Green if 0, Red if error</t>
        </is>
      </c>
    </row>
    <row r="42">
      <c r="A42" s="141" t="inlineStr">
        <is>
          <t>DEBT BY CATEGORY</t>
        </is>
      </c>
    </row>
    <row r="43">
      <c r="A43" s="142" t="inlineStr"/>
      <c r="B43" s="142" t="inlineStr">
        <is>
          <t>Category</t>
        </is>
      </c>
      <c r="C43" s="142" t="inlineStr">
        <is>
          <t># Loans</t>
        </is>
      </c>
      <c r="D43" s="142" t="inlineStr">
        <is>
          <t>Balance</t>
        </is>
      </c>
      <c r="E43" s="142" t="inlineStr">
        <is>
          <t>Monthly Pmt</t>
        </is>
      </c>
      <c r="F43" s="142" t="inlineStr">
        <is>
          <t>Ann. Interest</t>
        </is>
      </c>
      <c r="G43" s="142" t="inlineStr">
        <is>
          <t>% of Total</t>
        </is>
      </c>
      <c r="H43" s="142" t="inlineStr"/>
      <c r="I43" s="142" t="inlineStr"/>
      <c r="J43" s="142" t="inlineStr"/>
      <c r="K43" s="142" t="inlineStr"/>
      <c r="L43" s="142" t="inlineStr">
        <is>
          <t>Included Lenders</t>
        </is>
      </c>
    </row>
    <row r="44">
      <c r="B44" s="34" t="inlineStr">
        <is>
          <t>Equipment Loans</t>
        </is>
      </c>
      <c r="C44" s="34">
        <f>84-2-2-2</f>
        <v/>
      </c>
      <c r="D44" s="143">
        <f>D23-D21-D22</f>
        <v/>
      </c>
      <c r="E44" s="143">
        <f>E23-E21-E22</f>
        <v/>
      </c>
      <c r="F44" s="155">
        <f>D44*0.05</f>
        <v/>
      </c>
      <c r="G44" s="82">
        <f>D44/D23</f>
        <v/>
      </c>
      <c r="L44" s="145" t="inlineStr">
        <is>
          <t>BMO, Webster, Paccar, WF, Huntington, CCG, etc.</t>
        </is>
      </c>
    </row>
    <row r="45">
      <c r="B45" s="34" t="inlineStr">
        <is>
          <t>Real Estate Loans (IO)</t>
        </is>
      </c>
      <c r="C45" s="34">
        <f>4</f>
        <v/>
      </c>
      <c r="D45" s="143">
        <f>D21+D22</f>
        <v/>
      </c>
      <c r="E45" s="143">
        <f>E21+E22</f>
        <v/>
      </c>
      <c r="F45" s="155">
        <f>E45*12</f>
        <v/>
      </c>
      <c r="G45" s="82">
        <f>D45/D23</f>
        <v/>
      </c>
      <c r="L45" s="145" t="inlineStr">
        <is>
          <t>Commonwealth (11th St, Harrison), WinWin (Landmark, Race)</t>
        </is>
      </c>
    </row>
    <row r="46">
      <c r="B46" s="151" t="inlineStr">
        <is>
          <t>TOTAL</t>
        </is>
      </c>
      <c r="C46" s="149">
        <f>C44+C45</f>
        <v/>
      </c>
      <c r="D46" s="148">
        <f>D44+D45</f>
        <v/>
      </c>
      <c r="E46" s="148">
        <f>E44+E45</f>
        <v/>
      </c>
      <c r="F46" s="148">
        <f>F44+F45</f>
        <v/>
      </c>
      <c r="G46" s="156">
        <f>G44+G45</f>
        <v/>
      </c>
      <c r="L46" s="149" t="n"/>
    </row>
    <row r="48">
      <c r="A48" s="28" t="inlineStr">
        <is>
          <t>ANALYST REFERENCE</t>
        </is>
      </c>
    </row>
    <row r="49">
      <c r="B49" s="157" t="inlineStr">
        <is>
          <t>Interest Expense per DS (for IS link)</t>
        </is>
      </c>
      <c r="D49" s="158">
        <f>ABS(D32)</f>
        <v/>
      </c>
      <c r="E49" s="158">
        <f>ABS(E32)</f>
        <v/>
      </c>
      <c r="F49" s="158">
        <f>ABS(F32)</f>
        <v/>
      </c>
      <c r="G49" s="158">
        <f>ABS(G32)</f>
        <v/>
      </c>
      <c r="L49" s="159" t="inlineStr">
        <is>
          <t>IS Interest Expense links here</t>
        </is>
      </c>
    </row>
    <row r="50">
      <c r="B50" s="157" t="inlineStr">
        <is>
          <t>Principal Repaid per DS (for CF link)</t>
        </is>
      </c>
      <c r="D50" s="158">
        <f>ABS(D29)</f>
        <v/>
      </c>
      <c r="E50" s="158">
        <f>ABS(E29)</f>
        <v/>
      </c>
      <c r="F50" s="158">
        <f>ABS(F29)</f>
        <v/>
      </c>
      <c r="G50" s="158">
        <f>ABS(G29)</f>
        <v/>
      </c>
      <c r="L50" s="159" t="inlineStr">
        <is>
          <t>CF Financing Principal links here</t>
        </is>
      </c>
    </row>
    <row r="51">
      <c r="B51" s="157" t="inlineStr">
        <is>
          <t>Current Debt per DS (for BS link)</t>
        </is>
      </c>
      <c r="D51" s="158">
        <f>D36</f>
        <v/>
      </c>
      <c r="E51" s="158">
        <f>E36</f>
        <v/>
      </c>
      <c r="F51" s="158">
        <f>F36</f>
        <v/>
      </c>
      <c r="G51" s="158">
        <f>G36</f>
        <v/>
      </c>
      <c r="L51" s="159" t="inlineStr">
        <is>
          <t>BS Current LT Debt links here</t>
        </is>
      </c>
    </row>
    <row r="52">
      <c r="B52" s="157" t="inlineStr">
        <is>
          <t>LT Debt per DS (for BS link)</t>
        </is>
      </c>
      <c r="D52" s="158">
        <f>D37</f>
        <v/>
      </c>
      <c r="E52" s="158">
        <f>E37</f>
        <v/>
      </c>
      <c r="F52" s="158">
        <f>F37</f>
        <v/>
      </c>
      <c r="G52" s="158">
        <f>G37</f>
        <v/>
      </c>
      <c r="L52" s="159" t="inlineStr">
        <is>
          <t>BS LT Debt links here</t>
        </is>
      </c>
    </row>
  </sheetData>
  <mergeCells count="7">
    <mergeCell ref="A2:L2"/>
    <mergeCell ref="A42:L42"/>
    <mergeCell ref="A25:L25"/>
    <mergeCell ref="A1:L1"/>
    <mergeCell ref="A34:L34"/>
    <mergeCell ref="A4:L4"/>
    <mergeCell ref="A48:L48"/>
  </mergeCells>
  <pageMargins left="0.75" right="0.75" top="1" bottom="1" header="0.5" footer="0.5"/>
  <legacyDrawing xmlns:r="http://schemas.openxmlformats.org/officeDocument/2006/relationships" r:id="anysvml"/>
</worksheet>
</file>

<file path=xl/worksheets/sheet25.xml><?xml version="1.0" encoding="utf-8"?>
<worksheet xmlns="http://schemas.openxmlformats.org/spreadsheetml/2006/main">
  <sheetPr>
    <tabColor rgb="00E65100"/>
    <outlinePr summaryBelow="1" summaryRight="1"/>
    <pageSetUpPr/>
  </sheetPr>
  <dimension ref="A1:N34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8" customWidth="1" min="1" max="1"/>
    <col width="3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</cols>
  <sheetData>
    <row r="1">
      <c r="A1" s="167" t="inlineStr">
        <is>
          <t>ASSUMPTIONS</t>
        </is>
      </c>
    </row>
    <row r="3">
      <c r="B3" s="20" t="inlineStr">
        <is>
          <t>Scenario:</t>
        </is>
      </c>
      <c r="D3" s="168" t="n">
        <v>2</v>
      </c>
      <c r="E3" s="169" t="inlineStr">
        <is>
          <t>1=Downside, 2=Base, 3=Upside</t>
        </is>
      </c>
    </row>
    <row r="5">
      <c r="A5" s="18" t="inlineStr">
        <is>
          <t>Section</t>
        </is>
      </c>
      <c r="B5" s="18" t="inlineStr">
        <is>
          <t>Driver</t>
        </is>
      </c>
      <c r="C5" s="18" t="inlineStr">
        <is>
          <t>2026E Down</t>
        </is>
      </c>
      <c r="D5" s="18" t="inlineStr">
        <is>
          <t>2026E Base</t>
        </is>
      </c>
      <c r="E5" s="18" t="inlineStr">
        <is>
          <t>2026E Up</t>
        </is>
      </c>
      <c r="F5" s="18" t="inlineStr">
        <is>
          <t>2027E Down</t>
        </is>
      </c>
      <c r="G5" s="18" t="inlineStr">
        <is>
          <t>2027E Base</t>
        </is>
      </c>
      <c r="H5" s="18" t="inlineStr">
        <is>
          <t>2027E Up</t>
        </is>
      </c>
      <c r="I5" s="18" t="inlineStr">
        <is>
          <t>Projection 2026E</t>
        </is>
      </c>
      <c r="J5" s="18" t="inlineStr">
        <is>
          <t>Projection 2027E</t>
        </is>
      </c>
      <c r="K5" s="18" t="inlineStr">
        <is>
          <t>Hist 2023</t>
        </is>
      </c>
      <c r="L5" s="18" t="inlineStr">
        <is>
          <t>Hist 2024</t>
        </is>
      </c>
      <c r="M5" s="18" t="inlineStr">
        <is>
          <t>Hist 2025</t>
        </is>
      </c>
    </row>
    <row r="7">
      <c r="A7" s="170" t="inlineStr">
        <is>
          <t>REVENUE</t>
        </is>
      </c>
      <c r="B7" s="171" t="n"/>
      <c r="C7" s="171" t="n"/>
      <c r="D7" s="171" t="n"/>
      <c r="E7" s="171" t="n"/>
      <c r="F7" s="171" t="n"/>
      <c r="G7" s="171" t="n"/>
      <c r="H7" s="171" t="n"/>
      <c r="I7" s="171" t="n"/>
      <c r="J7" s="171" t="n"/>
      <c r="K7" s="171" t="n"/>
      <c r="L7" s="171" t="n"/>
      <c r="M7" s="171" t="n"/>
    </row>
    <row r="8">
      <c r="B8" t="inlineStr">
        <is>
          <t>Revenue Growth Rate 2026E</t>
        </is>
      </c>
      <c r="C8" s="172" t="n">
        <v>-0.03</v>
      </c>
      <c r="D8" s="172" t="n">
        <v>0.05</v>
      </c>
      <c r="E8" s="172" t="n">
        <v>0.1</v>
      </c>
      <c r="F8" t="inlineStr">
        <is>
          <t>--</t>
        </is>
      </c>
      <c r="G8" t="inlineStr">
        <is>
          <t>--</t>
        </is>
      </c>
      <c r="H8" t="inlineStr">
        <is>
          <t>--</t>
        </is>
      </c>
      <c r="I8" s="173">
        <f>CHOOSE($D$3,C8,D8,E8)</f>
        <v/>
      </c>
      <c r="J8" t="inlineStr">
        <is>
          <t>--</t>
        </is>
      </c>
      <c r="K8" s="173">
        <f>-6.6%</f>
        <v/>
      </c>
      <c r="L8" s="173">
        <f>4.3%</f>
        <v/>
      </c>
      <c r="M8" s="173">
        <f>24.8%</f>
        <v/>
      </c>
    </row>
    <row r="9">
      <c r="B9" t="inlineStr">
        <is>
          <t>Revenue Growth Rate 2027E</t>
        </is>
      </c>
      <c r="C9" t="inlineStr">
        <is>
          <t>--</t>
        </is>
      </c>
      <c r="D9" t="inlineStr">
        <is>
          <t>--</t>
        </is>
      </c>
      <c r="E9" t="inlineStr">
        <is>
          <t>--</t>
        </is>
      </c>
      <c r="F9" s="172" t="n">
        <v>0</v>
      </c>
      <c r="G9" s="172" t="n">
        <v>0.06</v>
      </c>
      <c r="H9" s="172" t="n">
        <v>0.12</v>
      </c>
      <c r="I9" t="inlineStr">
        <is>
          <t>--</t>
        </is>
      </c>
      <c r="J9" s="173">
        <f>CHOOSE($D$3,F9,G9,H9)</f>
        <v/>
      </c>
      <c r="K9" t="inlineStr">
        <is>
          <t>--</t>
        </is>
      </c>
      <c r="L9" t="inlineStr">
        <is>
          <t>--</t>
        </is>
      </c>
      <c r="M9" t="inlineStr">
        <is>
          <t>--</t>
        </is>
      </c>
    </row>
    <row r="11">
      <c r="A11" s="170" t="inlineStr">
        <is>
          <t>COGS &amp; OPEX</t>
        </is>
      </c>
      <c r="B11" s="171" t="n"/>
      <c r="C11" s="171" t="n"/>
      <c r="D11" s="171" t="n"/>
      <c r="E11" s="171" t="n"/>
      <c r="F11" s="171" t="n"/>
      <c r="G11" s="171" t="n"/>
      <c r="H11" s="171" t="n"/>
      <c r="I11" s="171" t="n"/>
      <c r="J11" s="171" t="n"/>
      <c r="K11" s="171" t="n"/>
      <c r="L11" s="171" t="n"/>
      <c r="M11" s="171" t="n"/>
    </row>
    <row r="12">
      <c r="B12" t="inlineStr">
        <is>
          <t>COGS as % of Revenue</t>
        </is>
      </c>
      <c r="C12" s="172" t="n">
        <v>0.65</v>
      </c>
      <c r="D12" s="172" t="n">
        <v>0.63</v>
      </c>
      <c r="E12" s="172" t="n">
        <v>0.61</v>
      </c>
      <c r="F12" s="172" t="n">
        <v>0.65</v>
      </c>
      <c r="G12" s="172" t="n">
        <v>0.63</v>
      </c>
      <c r="H12" s="172" t="n">
        <v>0.61</v>
      </c>
      <c r="I12" s="173">
        <f>CHOOSE($D$3,C12,D12,E12)</f>
        <v/>
      </c>
      <c r="J12" s="173">
        <f>CHOOSE($D$3,F12,G12,H12)</f>
        <v/>
      </c>
      <c r="K12" s="173">
        <f>90.0%</f>
        <v/>
      </c>
      <c r="L12" s="173">
        <f>90.7%</f>
        <v/>
      </c>
      <c r="M12" s="173">
        <f>66.6%</f>
        <v/>
      </c>
    </row>
    <row r="13">
      <c r="B13" t="inlineStr">
        <is>
          <t>OpEx Growth Rate</t>
        </is>
      </c>
      <c r="C13" s="172" t="n">
        <v>0.05</v>
      </c>
      <c r="D13" s="172" t="n">
        <v>0.03</v>
      </c>
      <c r="E13" s="172" t="n">
        <v>0.02</v>
      </c>
      <c r="F13" s="172" t="n">
        <v>0.05</v>
      </c>
      <c r="G13" s="172" t="n">
        <v>0.03</v>
      </c>
      <c r="H13" s="172" t="n">
        <v>0.02</v>
      </c>
      <c r="I13" s="173">
        <f>CHOOSE($D$3,C13,D13,E13)</f>
        <v/>
      </c>
      <c r="J13" s="173">
        <f>CHOOSE($D$3,F13,G13,H13)</f>
        <v/>
      </c>
      <c r="K13" t="inlineStr">
        <is>
          <t>--</t>
        </is>
      </c>
      <c r="L13" t="inlineStr">
        <is>
          <t>--</t>
        </is>
      </c>
      <c r="M13" t="inlineStr">
        <is>
          <t>--</t>
        </is>
      </c>
    </row>
    <row r="14">
      <c r="B14" t="inlineStr">
        <is>
          <t>D&amp;A as % of Gross PP&amp;E</t>
        </is>
      </c>
      <c r="C14" s="172" t="n">
        <v>0.1</v>
      </c>
      <c r="D14" s="172" t="n">
        <v>0.09</v>
      </c>
      <c r="E14" s="172" t="n">
        <v>0.08</v>
      </c>
      <c r="F14" s="172" t="n">
        <v>0.1</v>
      </c>
      <c r="G14" s="172" t="n">
        <v>0.09</v>
      </c>
      <c r="H14" s="172" t="n">
        <v>0.08</v>
      </c>
      <c r="I14" s="173">
        <f>CHOOSE($D$3,C14,D14,E14)</f>
        <v/>
      </c>
      <c r="J14" s="173">
        <f>CHOOSE($D$3,F14,G14,H14)</f>
        <v/>
      </c>
      <c r="K14" s="173">
        <f>10.5%</f>
        <v/>
      </c>
      <c r="L14" s="173">
        <f>10.4%</f>
        <v/>
      </c>
      <c r="M14" s="173">
        <f>8.5%</f>
        <v/>
      </c>
    </row>
    <row r="16">
      <c r="A16" s="170" t="inlineStr">
        <is>
          <t>WORKING CAP</t>
        </is>
      </c>
      <c r="B16" s="171" t="n"/>
      <c r="C16" s="171" t="n"/>
      <c r="D16" s="171" t="n"/>
      <c r="E16" s="171" t="n"/>
      <c r="F16" s="171" t="n"/>
      <c r="G16" s="171" t="n"/>
      <c r="H16" s="171" t="n"/>
      <c r="I16" s="171" t="n"/>
      <c r="J16" s="171" t="n"/>
      <c r="K16" s="171" t="n"/>
      <c r="L16" s="171" t="n"/>
      <c r="M16" s="171" t="n"/>
    </row>
    <row r="17">
      <c r="B17" t="inlineStr">
        <is>
          <t>Days Sales Outstanding (DSO)</t>
        </is>
      </c>
      <c r="C17" s="174" t="n">
        <v>45</v>
      </c>
      <c r="D17" s="174" t="n">
        <v>38</v>
      </c>
      <c r="E17" s="174" t="n">
        <v>32</v>
      </c>
      <c r="F17" s="174" t="n">
        <v>45</v>
      </c>
      <c r="G17" s="174" t="n">
        <v>38</v>
      </c>
      <c r="H17" s="174" t="n">
        <v>32</v>
      </c>
      <c r="I17">
        <f>CHOOSE($D$3,C17,D17,E17)</f>
        <v/>
      </c>
      <c r="J17">
        <f>CHOOSE($D$3,F17,G17,H17)</f>
        <v/>
      </c>
      <c r="K17">
        <f>34</f>
        <v/>
      </c>
      <c r="L17">
        <f>35</f>
        <v/>
      </c>
      <c r="M17">
        <f>38</f>
        <v/>
      </c>
    </row>
    <row r="18">
      <c r="B18" t="inlineStr">
        <is>
          <t>Days Payable Outstanding (DPO)</t>
        </is>
      </c>
      <c r="C18" s="174" t="n">
        <v>20</v>
      </c>
      <c r="D18" s="174" t="n">
        <v>28</v>
      </c>
      <c r="E18" s="174" t="n">
        <v>35</v>
      </c>
      <c r="F18" s="174" t="n">
        <v>20</v>
      </c>
      <c r="G18" s="174" t="n">
        <v>28</v>
      </c>
      <c r="H18" s="174" t="n">
        <v>35</v>
      </c>
      <c r="I18">
        <f>CHOOSE($D$3,C18,D18,E18)</f>
        <v/>
      </c>
      <c r="J18">
        <f>CHOOSE($D$3,F18,G18,H18)</f>
        <v/>
      </c>
      <c r="K18">
        <f>21</f>
        <v/>
      </c>
      <c r="L18">
        <f>26</f>
        <v/>
      </c>
      <c r="M18">
        <f>40</f>
        <v/>
      </c>
    </row>
    <row r="19">
      <c r="B19" t="inlineStr">
        <is>
          <t>Inventory Days</t>
        </is>
      </c>
      <c r="C19" s="174" t="n">
        <v>10</v>
      </c>
      <c r="D19" s="174" t="n">
        <v>7</v>
      </c>
      <c r="E19" s="174" t="n">
        <v>5</v>
      </c>
      <c r="F19" s="174" t="n">
        <v>10</v>
      </c>
      <c r="G19" s="174" t="n">
        <v>7</v>
      </c>
      <c r="H19" s="174" t="n">
        <v>5</v>
      </c>
      <c r="I19">
        <f>CHOOSE($D$3,C19,D19,E19)</f>
        <v/>
      </c>
      <c r="J19">
        <f>CHOOSE($D$3,F19,G19,H19)</f>
        <v/>
      </c>
      <c r="K19">
        <f>2</f>
        <v/>
      </c>
      <c r="L19">
        <f>3</f>
        <v/>
      </c>
      <c r="M19">
        <f>6</f>
        <v/>
      </c>
    </row>
    <row r="21">
      <c r="A21" s="170" t="inlineStr">
        <is>
          <t>DEBT</t>
        </is>
      </c>
      <c r="B21" s="171" t="n"/>
      <c r="C21" s="171" t="n"/>
      <c r="D21" s="171" t="n"/>
      <c r="E21" s="171" t="n"/>
      <c r="F21" s="171" t="n"/>
      <c r="G21" s="171" t="n"/>
      <c r="H21" s="171" t="n"/>
      <c r="I21" s="171" t="n"/>
      <c r="J21" s="171" t="n"/>
      <c r="K21" s="171" t="n"/>
      <c r="L21" s="171" t="n"/>
      <c r="M21" s="171" t="n"/>
    </row>
    <row r="22">
      <c r="B22" t="inlineStr">
        <is>
          <t>Interest Rate on New Debt</t>
        </is>
      </c>
      <c r="C22" s="172" t="n">
        <v>0.1</v>
      </c>
      <c r="D22" s="172" t="n">
        <v>0.08</v>
      </c>
      <c r="E22" s="172" t="n">
        <v>0.06</v>
      </c>
      <c r="F22" s="172" t="n">
        <v>0.1</v>
      </c>
      <c r="G22" s="172" t="n">
        <v>0.08</v>
      </c>
      <c r="H22" s="172" t="n">
        <v>0.06</v>
      </c>
      <c r="I22" s="173">
        <f>CHOOSE($D$3,C22,D22,E22)</f>
        <v/>
      </c>
      <c r="J22" s="173">
        <f>CHOOSE($D$3,F22,G22,H22)</f>
        <v/>
      </c>
      <c r="K22" s="173">
        <f>4.7%</f>
        <v/>
      </c>
      <c r="L22" s="173">
        <f>5.0%</f>
        <v/>
      </c>
      <c r="M22" s="173">
        <f>4.7%</f>
        <v/>
      </c>
    </row>
    <row r="23">
      <c r="B23" t="inlineStr">
        <is>
          <t>Annual Principal Paydown</t>
        </is>
      </c>
      <c r="C23" t="inlineStr">
        <is>
          <t>Per DS</t>
        </is>
      </c>
      <c r="D23" t="inlineStr">
        <is>
          <t>Per DS</t>
        </is>
      </c>
      <c r="E23" t="inlineStr">
        <is>
          <t>Per DS</t>
        </is>
      </c>
      <c r="F23" t="inlineStr">
        <is>
          <t>Per DS</t>
        </is>
      </c>
      <c r="G23" t="inlineStr">
        <is>
          <t>Per DS</t>
        </is>
      </c>
      <c r="H23" t="inlineStr">
        <is>
          <t>Per DS</t>
        </is>
      </c>
      <c r="I23" t="inlineStr">
        <is>
          <t>Per DS</t>
        </is>
      </c>
      <c r="J23" t="inlineStr">
        <is>
          <t>Per DS</t>
        </is>
      </c>
      <c r="K23" t="inlineStr">
        <is>
          <t>--</t>
        </is>
      </c>
      <c r="L23" t="inlineStr">
        <is>
          <t>--</t>
        </is>
      </c>
      <c r="M23" t="inlineStr">
        <is>
          <t>--</t>
        </is>
      </c>
    </row>
    <row r="25">
      <c r="A25" s="170" t="inlineStr">
        <is>
          <t>CAPEX</t>
        </is>
      </c>
      <c r="B25" s="171" t="n"/>
      <c r="C25" s="171" t="n"/>
      <c r="D25" s="171" t="n"/>
      <c r="E25" s="171" t="n"/>
      <c r="F25" s="171" t="n"/>
      <c r="G25" s="171" t="n"/>
      <c r="H25" s="171" t="n"/>
      <c r="I25" s="171" t="n"/>
      <c r="J25" s="171" t="n"/>
      <c r="K25" s="171" t="n"/>
      <c r="L25" s="171" t="n"/>
      <c r="M25" s="171" t="n"/>
    </row>
    <row r="26">
      <c r="B26" t="inlineStr">
        <is>
          <t>Maintenance CapEx as % Revenue</t>
        </is>
      </c>
      <c r="C26" s="172" t="n">
        <v>0.04</v>
      </c>
      <c r="D26" s="172" t="n">
        <v>0.035</v>
      </c>
      <c r="E26" s="172" t="n">
        <v>0.03</v>
      </c>
      <c r="F26" s="172" t="n">
        <v>0.04</v>
      </c>
      <c r="G26" s="172" t="n">
        <v>0.035</v>
      </c>
      <c r="H26" s="172" t="n">
        <v>0.03</v>
      </c>
      <c r="I26" s="173">
        <f>CHOOSE($D$3,C26,D26,E26)</f>
        <v/>
      </c>
      <c r="J26" s="173">
        <f>CHOOSE($D$3,F26,G26,H26)</f>
        <v/>
      </c>
      <c r="K26" t="inlineStr">
        <is>
          <t>--</t>
        </is>
      </c>
      <c r="L26" t="inlineStr">
        <is>
          <t>--</t>
        </is>
      </c>
      <c r="M26" t="inlineStr">
        <is>
          <t>--</t>
        </is>
      </c>
    </row>
    <row r="27">
      <c r="B27" t="inlineStr">
        <is>
          <t>Growth CapEx ($)</t>
        </is>
      </c>
      <c r="C27" s="175" t="n">
        <v>0</v>
      </c>
      <c r="D27" s="175" t="n">
        <v>2000000</v>
      </c>
      <c r="E27" s="175" t="n">
        <v>5000000</v>
      </c>
      <c r="F27" s="175" t="n">
        <v>0</v>
      </c>
      <c r="G27" s="175" t="n">
        <v>2500000</v>
      </c>
      <c r="H27" s="175" t="n">
        <v>6000000</v>
      </c>
      <c r="I27" s="31">
        <f>CHOOSE($D$3,C27,D27,E27)</f>
        <v/>
      </c>
      <c r="J27" s="31">
        <f>CHOOSE($D$3,F27,G27,H27)</f>
        <v/>
      </c>
      <c r="K27" t="inlineStr">
        <is>
          <t>--</t>
        </is>
      </c>
      <c r="L27" t="inlineStr">
        <is>
          <t>--</t>
        </is>
      </c>
      <c r="M27" t="inlineStr">
        <is>
          <t>--</t>
        </is>
      </c>
    </row>
    <row r="29">
      <c r="A29" s="170" t="inlineStr">
        <is>
          <t>TAX</t>
        </is>
      </c>
      <c r="B29" s="171" t="n"/>
      <c r="C29" s="171" t="n"/>
      <c r="D29" s="171" t="n"/>
      <c r="E29" s="171" t="n"/>
      <c r="F29" s="171" t="n"/>
      <c r="G29" s="171" t="n"/>
      <c r="H29" s="171" t="n"/>
      <c r="I29" s="171" t="n"/>
      <c r="J29" s="171" t="n"/>
      <c r="K29" s="171" t="n"/>
      <c r="L29" s="171" t="n"/>
      <c r="M29" s="171" t="n"/>
    </row>
    <row r="30">
      <c r="B30" t="inlineStr">
        <is>
          <t>Effective Tax Rate (S-Corp)</t>
        </is>
      </c>
      <c r="C30" s="172" t="n">
        <v>0</v>
      </c>
      <c r="D30" s="172" t="n">
        <v>0</v>
      </c>
      <c r="E30" s="172" t="n">
        <v>0</v>
      </c>
      <c r="F30" s="172" t="n">
        <v>0</v>
      </c>
      <c r="G30" s="172" t="n">
        <v>0</v>
      </c>
      <c r="H30" s="172" t="n">
        <v>0</v>
      </c>
      <c r="I30" s="173">
        <f>CHOOSE($D$3,C30,D30,E30)</f>
        <v/>
      </c>
      <c r="J30" s="173">
        <f>CHOOSE($D$3,F30,G30,H30)</f>
        <v/>
      </c>
      <c r="K30" s="173">
        <f>0.0%</f>
        <v/>
      </c>
      <c r="L30" s="173">
        <f>0.0%</f>
        <v/>
      </c>
      <c r="M30" s="173">
        <f>0.0%</f>
        <v/>
      </c>
    </row>
    <row r="32">
      <c r="A32" s="170" t="inlineStr">
        <is>
          <t>MARGINS</t>
        </is>
      </c>
      <c r="B32" s="171" t="n"/>
      <c r="C32" s="171" t="n"/>
      <c r="D32" s="171" t="n"/>
      <c r="E32" s="171" t="n"/>
      <c r="F32" s="171" t="n"/>
      <c r="G32" s="171" t="n"/>
      <c r="H32" s="171" t="n"/>
      <c r="I32" s="171" t="n"/>
      <c r="J32" s="171" t="n"/>
      <c r="K32" s="171" t="n"/>
      <c r="L32" s="171" t="n"/>
      <c r="M32" s="171" t="n"/>
    </row>
    <row r="33">
      <c r="B33" t="inlineStr">
        <is>
          <t>Gross Margin (1 - COGS%)</t>
        </is>
      </c>
      <c r="C33" s="173">
        <f>1-C12</f>
        <v/>
      </c>
      <c r="D33" s="173">
        <f>1-D12</f>
        <v/>
      </c>
      <c r="E33" s="173">
        <f>1-E12</f>
        <v/>
      </c>
      <c r="F33" s="173">
        <f>1-F12</f>
        <v/>
      </c>
      <c r="G33" s="173">
        <f>1-G12</f>
        <v/>
      </c>
      <c r="H33" s="173">
        <f>1-H12</f>
        <v/>
      </c>
      <c r="I33" s="173">
        <f>CHOOSE($D$3,C33,D33,E33)</f>
        <v/>
      </c>
      <c r="J33" s="173">
        <f>CHOOSE($D$3,F33,G33,H33)</f>
        <v/>
      </c>
      <c r="K33" s="173">
        <f>10.0%</f>
        <v/>
      </c>
      <c r="L33" s="173">
        <f>9.3%</f>
        <v/>
      </c>
      <c r="M33" s="173">
        <f>33.4%</f>
        <v/>
      </c>
    </row>
    <row r="34">
      <c r="B34" t="inlineStr">
        <is>
          <t>EBITDA Margin</t>
        </is>
      </c>
      <c r="C34" s="172" t="n">
        <v>0.08</v>
      </c>
      <c r="D34" s="172" t="n">
        <v>0.1</v>
      </c>
      <c r="E34" s="172" t="n">
        <v>0.12</v>
      </c>
      <c r="F34" s="172" t="n">
        <v>0.08</v>
      </c>
      <c r="G34" s="172" t="n">
        <v>0.1</v>
      </c>
      <c r="H34" s="172" t="n">
        <v>0.12</v>
      </c>
      <c r="I34" s="173">
        <f>CHOOSE($D$3,C34,D34,E34)</f>
        <v/>
      </c>
      <c r="J34" s="173">
        <f>CHOOSE($D$3,F34,G34,H34)</f>
        <v/>
      </c>
      <c r="K34" s="173">
        <f>9.9%</f>
        <v/>
      </c>
      <c r="L34" s="173">
        <f>10.8%</f>
        <v/>
      </c>
      <c r="M34" s="173">
        <f>10.3%</f>
        <v/>
      </c>
    </row>
  </sheetData>
  <mergeCells count="1">
    <mergeCell ref="A1:N1"/>
  </mergeCells>
  <pageMargins left="0.75" right="0.75" top="1" bottom="1" header="0.5" footer="0.5"/>
  <legacyDrawing xmlns:r="http://schemas.openxmlformats.org/officeDocument/2006/relationships" r:id="anysvml"/>
</worksheet>
</file>

<file path=xl/worksheets/sheet26.xml><?xml version="1.0" encoding="utf-8"?>
<worksheet xmlns="http://schemas.openxmlformats.org/spreadsheetml/2006/main">
  <sheetPr>
    <tabColor rgb="001B5E20"/>
    <outlinePr summaryBelow="1" summaryRight="1"/>
    <pageSetUpPr/>
  </sheetPr>
  <dimension ref="A1:J65"/>
  <sheetViews>
    <sheetView workbookViewId="0">
      <pane xSplit="2" ySplit="2" topLeftCell="C3" activePane="bottomRight" state="frozen"/>
      <selection pane="top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0" customWidth="1" min="1" max="1"/>
    <col width="3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52" customWidth="1" min="10" max="10"/>
  </cols>
  <sheetData>
    <row r="1">
      <c r="B1" s="93" t="inlineStr">
        <is>
          <t>P&amp;L Detail</t>
        </is>
      </c>
    </row>
    <row r="3">
      <c r="B3" s="39" t="inlineStr">
        <is>
          <t>Account</t>
        </is>
      </c>
      <c r="C3" s="70" t="inlineStr">
        <is>
          <t>2021A</t>
        </is>
      </c>
      <c r="D3" s="70" t="inlineStr">
        <is>
          <t>2022A</t>
        </is>
      </c>
      <c r="E3" s="70" t="inlineStr">
        <is>
          <t>2023A</t>
        </is>
      </c>
      <c r="F3" s="70" t="inlineStr">
        <is>
          <t>2024A</t>
        </is>
      </c>
      <c r="G3" s="70" t="inlineStr">
        <is>
          <t>2025A</t>
        </is>
      </c>
      <c r="H3" s="70" t="inlineStr">
        <is>
          <t>2026E</t>
        </is>
      </c>
      <c r="I3" s="70" t="inlineStr">
        <is>
          <t>2027E</t>
        </is>
      </c>
      <c r="J3" s="39" t="inlineStr">
        <is>
          <t>Analyst Notes</t>
        </is>
      </c>
    </row>
    <row r="5">
      <c r="A5" s="184" t="inlineStr">
        <is>
          <t>REVENUE DETAIL</t>
        </is>
      </c>
      <c r="B5" s="185" t="n"/>
      <c r="C5" s="185" t="n"/>
      <c r="D5" s="185" t="n"/>
      <c r="E5" s="185" t="n"/>
      <c r="F5" s="185" t="n"/>
      <c r="G5" s="185" t="n"/>
      <c r="H5" s="185" t="n"/>
      <c r="I5" s="185" t="n"/>
      <c r="J5" s="185" t="n"/>
    </row>
    <row r="6">
      <c r="B6" t="inlineStr">
        <is>
          <t>Freight Revenue</t>
        </is>
      </c>
      <c r="C6" s="22">
        <f>40720848</f>
        <v/>
      </c>
      <c r="D6" s="22">
        <f>44181915</f>
        <v/>
      </c>
      <c r="E6" s="22">
        <f>37199093</f>
        <v/>
      </c>
      <c r="F6" s="22">
        <f>39194308</f>
        <v/>
      </c>
      <c r="G6" s="22">
        <f>41986752</f>
        <v/>
      </c>
      <c r="H6" s="118">
        <f>'Income Statement'!H4</f>
        <v/>
      </c>
      <c r="I6" s="118">
        <f>'Income Statement'!I4</f>
        <v/>
      </c>
      <c r="J6" t="inlineStr">
        <is>
          <t>Core trucking operations; relatively stable.</t>
        </is>
      </c>
    </row>
    <row r="7">
      <c r="B7" t="inlineStr">
        <is>
          <t>Shuttle Revenue</t>
        </is>
      </c>
      <c r="C7" s="22">
        <f>5448303</f>
        <v/>
      </c>
      <c r="D7" s="22">
        <f>7390917</f>
        <v/>
      </c>
      <c r="E7" s="22">
        <f>4675113</f>
        <v/>
      </c>
      <c r="F7" s="22">
        <f>4499504</f>
        <v/>
      </c>
      <c r="G7" s="22">
        <f>6322989</f>
        <v/>
      </c>
      <c r="H7" s="118">
        <f>'Income Statement'!H5</f>
        <v/>
      </c>
      <c r="I7" s="118">
        <f>'Income Statement'!I5</f>
        <v/>
      </c>
    </row>
    <row r="8">
      <c r="B8" t="inlineStr">
        <is>
          <t>Brokerage Revenue</t>
        </is>
      </c>
      <c r="C8" s="22">
        <f>10276353</f>
        <v/>
      </c>
      <c r="D8" s="22">
        <f>24537265</f>
        <v/>
      </c>
      <c r="E8" s="22">
        <f>22614482</f>
        <v/>
      </c>
      <c r="F8" s="22">
        <f>20836532</f>
        <v/>
      </c>
      <c r="G8" s="22">
        <f>25056799</f>
        <v/>
      </c>
      <c r="H8" s="118">
        <f>'Income Statement'!H6</f>
        <v/>
      </c>
      <c r="I8" s="118">
        <f>'Income Statement'!I6</f>
        <v/>
      </c>
      <c r="J8" t="inlineStr">
        <is>
          <t>Asset-light revenue stream; volatile with market conditions.</t>
        </is>
      </c>
    </row>
    <row r="9">
      <c r="B9" t="inlineStr">
        <is>
          <t>Warehouse Revenue</t>
        </is>
      </c>
      <c r="C9" s="22">
        <f>1916260</f>
        <v/>
      </c>
      <c r="D9" s="22">
        <f>5754013</f>
        <v/>
      </c>
      <c r="E9" s="22">
        <f>10581941</f>
        <v/>
      </c>
      <c r="F9" s="22">
        <f>13517481</f>
        <v/>
      </c>
      <c r="G9" s="22">
        <f>26811107</f>
        <v/>
      </c>
      <c r="H9" s="118">
        <f>'Income Statement'!H7</f>
        <v/>
      </c>
      <c r="I9" s="118">
        <f>'Income Statement'!I7</f>
        <v/>
      </c>
      <c r="J9" t="inlineStr">
        <is>
          <t>Significant growth from 2021-2025. Key driver of revenue mix shift.</t>
        </is>
      </c>
    </row>
    <row r="10">
      <c r="B10" t="inlineStr">
        <is>
          <t>Fuel Surcharges</t>
        </is>
      </c>
      <c r="C10" s="22">
        <f>1647918</f>
        <v/>
      </c>
      <c r="D10" s="22">
        <f>4486540</f>
        <v/>
      </c>
      <c r="E10" s="22">
        <f>4605089</f>
        <v/>
      </c>
      <c r="F10" s="22">
        <f>4312218</f>
        <v/>
      </c>
      <c r="G10" s="22">
        <f>2820743</f>
        <v/>
      </c>
      <c r="H10" s="22">
        <f>0</f>
        <v/>
      </c>
      <c r="I10" s="22">
        <f>0</f>
        <v/>
      </c>
    </row>
    <row r="11">
      <c r="B11" t="inlineStr">
        <is>
          <t>Rental Revenue (Tractor/Trailer)</t>
        </is>
      </c>
      <c r="C11" s="22">
        <f>817539</f>
        <v/>
      </c>
      <c r="D11" s="22">
        <f>1954461</f>
        <v/>
      </c>
      <c r="E11" s="22">
        <f>1861814</f>
        <v/>
      </c>
      <c r="F11" s="22">
        <f>847072</f>
        <v/>
      </c>
      <c r="G11" s="22">
        <f>2363917</f>
        <v/>
      </c>
      <c r="H11" s="22">
        <f>0</f>
        <v/>
      </c>
      <c r="I11" s="22">
        <f>0</f>
        <v/>
      </c>
    </row>
    <row r="12">
      <c r="B12" t="inlineStr">
        <is>
          <t>Shop Revenue</t>
        </is>
      </c>
      <c r="C12" s="22">
        <f>1263284</f>
        <v/>
      </c>
      <c r="D12" s="22">
        <f>1027699</f>
        <v/>
      </c>
      <c r="E12" s="22">
        <f>1436101</f>
        <v/>
      </c>
      <c r="F12" s="22">
        <f>2244998</f>
        <v/>
      </c>
      <c r="G12" s="22">
        <f>3702787</f>
        <v/>
      </c>
      <c r="H12" s="22">
        <f>0</f>
        <v/>
      </c>
      <c r="I12" s="22">
        <f>0</f>
        <v/>
      </c>
    </row>
    <row r="13">
      <c r="B13" t="inlineStr">
        <is>
          <t>Other Revenue</t>
        </is>
      </c>
      <c r="C13" s="22">
        <f>416225</f>
        <v/>
      </c>
      <c r="D13" s="22">
        <f>749624</f>
        <v/>
      </c>
      <c r="E13" s="22">
        <f>1138001</f>
        <v/>
      </c>
      <c r="F13" s="22">
        <f>2234061</f>
        <v/>
      </c>
      <c r="G13" s="22">
        <f>366649</f>
        <v/>
      </c>
      <c r="H13" s="22">
        <f>0</f>
        <v/>
      </c>
      <c r="I13" s="22">
        <f>0</f>
        <v/>
      </c>
    </row>
    <row r="14">
      <c r="B14" s="186" t="inlineStr">
        <is>
          <t>Total Revenue</t>
        </is>
      </c>
      <c r="C14" s="187">
        <f>SUM(C6:C13)</f>
        <v/>
      </c>
      <c r="D14" s="187">
        <f>SUM(D6:D13)</f>
        <v/>
      </c>
      <c r="E14" s="187">
        <f>SUM(E6:E13)</f>
        <v/>
      </c>
      <c r="F14" s="187">
        <f>SUM(F6:F13)</f>
        <v/>
      </c>
      <c r="G14" s="187">
        <f>SUM(G6:G13)</f>
        <v/>
      </c>
      <c r="H14" s="187">
        <f>SUM(H6:H13)</f>
        <v/>
      </c>
      <c r="I14" s="187">
        <f>SUM(I6:I13)</f>
        <v/>
      </c>
    </row>
    <row r="16">
      <c r="A16" s="184" t="inlineStr">
        <is>
          <t>COST OF SERVICES DETAIL</t>
        </is>
      </c>
      <c r="B16" s="185" t="n"/>
      <c r="C16" s="185" t="n"/>
      <c r="D16" s="185" t="n"/>
      <c r="E16" s="185" t="n"/>
      <c r="F16" s="185" t="n"/>
      <c r="G16" s="185" t="n"/>
      <c r="H16" s="185" t="n"/>
      <c r="I16" s="185" t="n"/>
      <c r="J16" s="185" t="n"/>
    </row>
    <row r="17">
      <c r="B17" t="inlineStr">
        <is>
          <t>Driver Wages &amp; Benefits</t>
        </is>
      </c>
      <c r="C17" s="22">
        <f>-15558437</f>
        <v/>
      </c>
      <c r="D17" s="22">
        <f>-21453444</f>
        <v/>
      </c>
      <c r="E17" s="22">
        <f>-21451675</f>
        <v/>
      </c>
      <c r="F17" s="22">
        <f>-19512028</f>
        <v/>
      </c>
      <c r="G17" s="22">
        <f>-15382340</f>
        <v/>
      </c>
      <c r="H17" s="22">
        <f>0</f>
        <v/>
      </c>
      <c r="I17" s="22">
        <f>0</f>
        <v/>
      </c>
    </row>
    <row r="18">
      <c r="B18" t="inlineStr">
        <is>
          <t>Employee Benefits - Drivers</t>
        </is>
      </c>
      <c r="C18" s="22">
        <f>-2231103</f>
        <v/>
      </c>
      <c r="D18" s="22">
        <f>-2930567</f>
        <v/>
      </c>
      <c r="E18" s="22">
        <f>-3661418</f>
        <v/>
      </c>
      <c r="F18" s="22">
        <f>-3993044</f>
        <v/>
      </c>
      <c r="G18" s="22">
        <f>-0</f>
        <v/>
      </c>
      <c r="H18" s="22">
        <f>0</f>
        <v/>
      </c>
      <c r="I18" s="22">
        <f>0</f>
        <v/>
      </c>
    </row>
    <row r="19">
      <c r="B19" t="inlineStr">
        <is>
          <t>Fuel Expense</t>
        </is>
      </c>
      <c r="C19" s="22">
        <f>-6708074</f>
        <v/>
      </c>
      <c r="D19" s="22">
        <f>-11222605</f>
        <v/>
      </c>
      <c r="E19" s="22">
        <f>-8188747</f>
        <v/>
      </c>
      <c r="F19" s="22">
        <f>-7759386</f>
        <v/>
      </c>
      <c r="G19" s="22">
        <f>-5753958</f>
        <v/>
      </c>
      <c r="H19" s="22">
        <f>0</f>
        <v/>
      </c>
      <c r="I19" s="22">
        <f>0</f>
        <v/>
      </c>
      <c r="J19" t="inlineStr">
        <is>
          <t>Highly variable with diesel prices and miles driven.</t>
        </is>
      </c>
    </row>
    <row r="20">
      <c r="B20" t="inlineStr">
        <is>
          <t>Purchased Transportation (O/O)</t>
        </is>
      </c>
      <c r="C20" s="22">
        <f>-18300990</f>
        <v/>
      </c>
      <c r="D20" s="22">
        <f>-28994056</f>
        <v/>
      </c>
      <c r="E20" s="22">
        <f>-24643637</f>
        <v/>
      </c>
      <c r="F20" s="22">
        <f>-26047440</f>
        <v/>
      </c>
      <c r="G20" s="22">
        <f>-35290529</f>
        <v/>
      </c>
      <c r="H20" s="22">
        <f>0</f>
        <v/>
      </c>
      <c r="I20" s="22">
        <f>0</f>
        <v/>
      </c>
      <c r="J20" t="inlineStr">
        <is>
          <t>Owner-operator payments. Variable with freight volume. Major cost item.</t>
        </is>
      </c>
    </row>
    <row r="21">
      <c r="B21" t="inlineStr">
        <is>
          <t>Repairs &amp; Maintenance</t>
        </is>
      </c>
      <c r="C21" s="22">
        <f>-2393790</f>
        <v/>
      </c>
      <c r="D21" s="22">
        <f>-3505881</f>
        <v/>
      </c>
      <c r="E21" s="22">
        <f>-3461086</f>
        <v/>
      </c>
      <c r="F21" s="22">
        <f>-2817424</f>
        <v/>
      </c>
      <c r="G21" s="22">
        <f>-867483</f>
        <v/>
      </c>
      <c r="H21" s="22">
        <f>0</f>
        <v/>
      </c>
      <c r="I21" s="22">
        <f>0</f>
        <v/>
      </c>
    </row>
    <row r="22">
      <c r="B22" t="inlineStr">
        <is>
          <t>Operating Supplies</t>
        </is>
      </c>
      <c r="C22" s="22">
        <f>-3105254</f>
        <v/>
      </c>
      <c r="D22" s="22">
        <f>-3479584</f>
        <v/>
      </c>
      <c r="E22" s="22">
        <f>-3871801</f>
        <v/>
      </c>
      <c r="F22" s="22">
        <f>-4117476</f>
        <v/>
      </c>
      <c r="G22" s="22">
        <f>-3918061</f>
        <v/>
      </c>
      <c r="H22" s="22">
        <f>0</f>
        <v/>
      </c>
      <c r="I22" s="22">
        <f>0</f>
        <v/>
      </c>
    </row>
    <row r="23">
      <c r="B23" t="inlineStr">
        <is>
          <t>Insurance - Auto/Cargo</t>
        </is>
      </c>
      <c r="C23" s="22">
        <f>-989896</f>
        <v/>
      </c>
      <c r="D23" s="22">
        <f>-1473768</f>
        <v/>
      </c>
      <c r="E23" s="22">
        <f>-1658911</f>
        <v/>
      </c>
      <c r="F23" s="22">
        <f>-2222636</f>
        <v/>
      </c>
      <c r="G23" s="22">
        <f>-2236564</f>
        <v/>
      </c>
      <c r="H23" s="22">
        <f>0</f>
        <v/>
      </c>
      <c r="I23" s="22">
        <f>0</f>
        <v/>
      </c>
      <c r="J23" t="inlineStr">
        <is>
          <t>Insurance costs rising industry-wide. Nuclear verdicts risk.</t>
        </is>
      </c>
    </row>
    <row r="24">
      <c r="B24" t="inlineStr">
        <is>
          <t>Equipment Rental/Lease</t>
        </is>
      </c>
      <c r="C24" s="22">
        <f>-905863</f>
        <v/>
      </c>
      <c r="D24" s="22">
        <f>-1055159</f>
        <v/>
      </c>
      <c r="E24" s="22">
        <f>-1595212</f>
        <v/>
      </c>
      <c r="F24" s="22">
        <f>-766301</f>
        <v/>
      </c>
      <c r="G24" s="22">
        <f>-1841137</f>
        <v/>
      </c>
      <c r="H24" s="22">
        <f>0</f>
        <v/>
      </c>
      <c r="I24" s="22">
        <f>0</f>
        <v/>
      </c>
    </row>
    <row r="25">
      <c r="B25" t="inlineStr">
        <is>
          <t>COGS - Materials</t>
        </is>
      </c>
      <c r="C25" s="22">
        <f>-96401</f>
        <v/>
      </c>
      <c r="D25" s="22">
        <f>-149632</f>
        <v/>
      </c>
      <c r="E25" s="22">
        <f>-88699</f>
        <v/>
      </c>
      <c r="F25" s="22">
        <f>-127627</f>
        <v/>
      </c>
      <c r="G25" s="22">
        <f>-0</f>
        <v/>
      </c>
      <c r="H25" s="22">
        <f>0</f>
        <v/>
      </c>
      <c r="I25" s="22">
        <f>0</f>
        <v/>
      </c>
    </row>
    <row r="26">
      <c r="B26" t="inlineStr">
        <is>
          <t>Depreciation &amp; Amortization</t>
        </is>
      </c>
      <c r="C26" s="22">
        <f>-5003117</f>
        <v/>
      </c>
      <c r="D26" s="22">
        <f>-6326609</f>
        <v/>
      </c>
      <c r="E26" s="22">
        <f>-7351132</f>
        <v/>
      </c>
      <c r="F26" s="22">
        <f>-8110113</f>
        <v/>
      </c>
      <c r="G26" s="22">
        <f>-7518967</f>
        <v/>
      </c>
      <c r="H26" s="22">
        <f>0</f>
        <v/>
      </c>
      <c r="I26" s="22">
        <f>0</f>
        <v/>
      </c>
      <c r="J26" t="inlineStr">
        <is>
          <t>Non-cash. Growing with fleet expansion and warehouse buildout.</t>
        </is>
      </c>
    </row>
    <row r="27">
      <c r="B27" t="inlineStr">
        <is>
          <t>Gain on Asset Sales</t>
        </is>
      </c>
      <c r="C27" s="22">
        <f>-248398</f>
        <v/>
      </c>
      <c r="D27" s="22">
        <f>-1378969</f>
        <v/>
      </c>
      <c r="E27" s="22">
        <f>-1712828</f>
        <v/>
      </c>
      <c r="F27" s="22">
        <f>-259386</f>
        <v/>
      </c>
      <c r="G27" s="22">
        <f>-87716</f>
        <v/>
      </c>
      <c r="H27" s="22">
        <f>0</f>
        <v/>
      </c>
      <c r="I27" s="22">
        <f>0</f>
        <v/>
      </c>
    </row>
    <row r="28">
      <c r="B28" t="inlineStr">
        <is>
          <t>Miscellaneous Direct Costs</t>
        </is>
      </c>
      <c r="C28" s="22">
        <f>-2207789</f>
        <v/>
      </c>
      <c r="D28" s="22">
        <f>-3693688</f>
        <v/>
      </c>
      <c r="E28" s="22">
        <f>-4278291</f>
        <v/>
      </c>
      <c r="F28" s="22">
        <f>-4910486</f>
        <v/>
      </c>
      <c r="G28" s="22">
        <f>-1763966</f>
        <v/>
      </c>
      <c r="H28" s="22">
        <f>0</f>
        <v/>
      </c>
      <c r="I28" s="22">
        <f>0</f>
        <v/>
      </c>
    </row>
    <row r="29">
      <c r="B29" s="186" t="inlineStr">
        <is>
          <t>Total Cost of Services</t>
        </is>
      </c>
      <c r="C29" s="187">
        <f>SUM(C17:C28)</f>
        <v/>
      </c>
      <c r="D29" s="187">
        <f>SUM(D17:D28)</f>
        <v/>
      </c>
      <c r="E29" s="187">
        <f>SUM(E17:E28)</f>
        <v/>
      </c>
      <c r="F29" s="187">
        <f>SUM(F17:F28)</f>
        <v/>
      </c>
      <c r="G29" s="187">
        <f>SUM(G17:G28)</f>
        <v/>
      </c>
      <c r="H29" s="187">
        <f>SUM(H17:H28)</f>
        <v/>
      </c>
      <c r="I29" s="187">
        <f>SUM(I17:I28)</f>
        <v/>
      </c>
    </row>
    <row r="30">
      <c r="B30" s="186" t="inlineStr">
        <is>
          <t>Gross Profit</t>
        </is>
      </c>
      <c r="C30" s="188">
        <f>C14+C29</f>
        <v/>
      </c>
      <c r="D30" s="188">
        <f>D14+D29</f>
        <v/>
      </c>
      <c r="E30" s="188">
        <f>E14+E29</f>
        <v/>
      </c>
      <c r="F30" s="188">
        <f>F14+F29</f>
        <v/>
      </c>
      <c r="G30" s="188">
        <f>G14+G29</f>
        <v/>
      </c>
      <c r="H30" s="188">
        <f>H14+H29</f>
        <v/>
      </c>
      <c r="I30" s="188">
        <f>I14+I29</f>
        <v/>
      </c>
    </row>
    <row r="32">
      <c r="A32" s="184" t="inlineStr">
        <is>
          <t>OPERATING EXPENSES DETAIL</t>
        </is>
      </c>
      <c r="B32" s="185" t="n"/>
      <c r="C32" s="185" t="n"/>
      <c r="D32" s="185" t="n"/>
      <c r="E32" s="185" t="n"/>
      <c r="F32" s="185" t="n"/>
      <c r="G32" s="185" t="n"/>
      <c r="H32" s="185" t="n"/>
      <c r="I32" s="185" t="n"/>
      <c r="J32" s="185" t="n"/>
    </row>
    <row r="33">
      <c r="B33" t="inlineStr">
        <is>
          <t>Office Labor</t>
        </is>
      </c>
      <c r="C33" s="22">
        <f>-0</f>
        <v/>
      </c>
      <c r="D33" s="22">
        <f>-0</f>
        <v/>
      </c>
      <c r="E33" s="22">
        <f>-0</f>
        <v/>
      </c>
      <c r="F33" s="22">
        <f>-0</f>
        <v/>
      </c>
      <c r="G33" s="22">
        <f>-6255686</f>
        <v/>
      </c>
      <c r="H33" s="22">
        <f>0</f>
        <v/>
      </c>
      <c r="I33" s="22">
        <f>0</f>
        <v/>
      </c>
      <c r="J33" t="inlineStr">
        <is>
          <t>Admin staff. Only separately broken out starting 2025.</t>
        </is>
      </c>
    </row>
    <row r="34">
      <c r="B34" t="inlineStr">
        <is>
          <t>Building Rent</t>
        </is>
      </c>
      <c r="C34" s="22">
        <f>-156577</f>
        <v/>
      </c>
      <c r="D34" s="22">
        <f>-2021994</f>
        <v/>
      </c>
      <c r="E34" s="22">
        <f>-4163438</f>
        <v/>
      </c>
      <c r="F34" s="22">
        <f>-6163042</f>
        <v/>
      </c>
      <c r="G34" s="22">
        <f>-12876980</f>
        <v/>
      </c>
      <c r="H34" s="22">
        <f>0</f>
        <v/>
      </c>
      <c r="I34" s="22">
        <f>0</f>
        <v/>
      </c>
      <c r="J34" t="inlineStr">
        <is>
          <t>Significant increase with warehouse expansion. Related party leases.</t>
        </is>
      </c>
    </row>
    <row r="35">
      <c r="B35" t="inlineStr">
        <is>
          <t>Office Supplies</t>
        </is>
      </c>
      <c r="C35" s="22">
        <f>-0</f>
        <v/>
      </c>
      <c r="D35" s="22">
        <f>-0</f>
        <v/>
      </c>
      <c r="E35" s="22">
        <f>-0</f>
        <v/>
      </c>
      <c r="F35" s="22">
        <f>-0</f>
        <v/>
      </c>
      <c r="G35" s="22">
        <f>-260805</f>
        <v/>
      </c>
      <c r="H35" s="22">
        <f>0</f>
        <v/>
      </c>
      <c r="I35" s="22">
        <f>0</f>
        <v/>
      </c>
    </row>
    <row r="36">
      <c r="B36" t="inlineStr">
        <is>
          <t>Computer Fees / Technology</t>
        </is>
      </c>
      <c r="C36" s="22">
        <f>-0</f>
        <v/>
      </c>
      <c r="D36" s="22">
        <f>-0</f>
        <v/>
      </c>
      <c r="E36" s="22">
        <f>-0</f>
        <v/>
      </c>
      <c r="F36" s="22">
        <f>-0</f>
        <v/>
      </c>
      <c r="G36" s="22">
        <f>-1380988</f>
        <v/>
      </c>
      <c r="H36" s="22">
        <f>0</f>
        <v/>
      </c>
      <c r="I36" s="22">
        <f>0</f>
        <v/>
      </c>
    </row>
    <row r="37">
      <c r="B37" t="inlineStr">
        <is>
          <t>Professional Fees</t>
        </is>
      </c>
      <c r="C37" s="22">
        <f>-0</f>
        <v/>
      </c>
      <c r="D37" s="22">
        <f>-0</f>
        <v/>
      </c>
      <c r="E37" s="22">
        <f>-0</f>
        <v/>
      </c>
      <c r="F37" s="22">
        <f>-0</f>
        <v/>
      </c>
      <c r="G37" s="22">
        <f>-2277495</f>
        <v/>
      </c>
      <c r="H37" s="22">
        <f>0</f>
        <v/>
      </c>
      <c r="I37" s="22">
        <f>0</f>
        <v/>
      </c>
      <c r="J37" t="inlineStr">
        <is>
          <t>Legal, accounting, consulting. May include one-time transaction costs.</t>
        </is>
      </c>
    </row>
    <row r="38">
      <c r="B38" t="inlineStr">
        <is>
          <t>Building Expenses</t>
        </is>
      </c>
      <c r="C38" s="22">
        <f>-0</f>
        <v/>
      </c>
      <c r="D38" s="22">
        <f>-0</f>
        <v/>
      </c>
      <c r="E38" s="22">
        <f>-0</f>
        <v/>
      </c>
      <c r="F38" s="22">
        <f>-0</f>
        <v/>
      </c>
      <c r="G38" s="22">
        <f>-721036</f>
        <v/>
      </c>
      <c r="H38" s="22">
        <f>0</f>
        <v/>
      </c>
      <c r="I38" s="22">
        <f>0</f>
        <v/>
      </c>
    </row>
    <row r="39">
      <c r="B39" t="inlineStr">
        <is>
          <t>Utilities</t>
        </is>
      </c>
      <c r="C39" s="22">
        <f>-0</f>
        <v/>
      </c>
      <c r="D39" s="22">
        <f>-0</f>
        <v/>
      </c>
      <c r="E39" s="22">
        <f>-0</f>
        <v/>
      </c>
      <c r="F39" s="22">
        <f>-0</f>
        <v/>
      </c>
      <c r="G39" s="22">
        <f>-560847</f>
        <v/>
      </c>
      <c r="H39" s="22">
        <f>0</f>
        <v/>
      </c>
      <c r="I39" s="22">
        <f>0</f>
        <v/>
      </c>
    </row>
    <row r="40">
      <c r="B40" t="inlineStr">
        <is>
          <t>Advertising &amp; Marketing</t>
        </is>
      </c>
      <c r="C40" s="22">
        <f>-0</f>
        <v/>
      </c>
      <c r="D40" s="22">
        <f>-0</f>
        <v/>
      </c>
      <c r="E40" s="22">
        <f>-0</f>
        <v/>
      </c>
      <c r="F40" s="22">
        <f>-0</f>
        <v/>
      </c>
      <c r="G40" s="22">
        <f>-430477</f>
        <v/>
      </c>
      <c r="H40" s="22">
        <f>0</f>
        <v/>
      </c>
      <c r="I40" s="22">
        <f>0</f>
        <v/>
      </c>
    </row>
    <row r="41">
      <c r="B41" t="inlineStr">
        <is>
          <t>Travel &amp; Entertainment</t>
        </is>
      </c>
      <c r="C41" s="22">
        <f>-0</f>
        <v/>
      </c>
      <c r="D41" s="22">
        <f>-0</f>
        <v/>
      </c>
      <c r="E41" s="22">
        <f>-0</f>
        <v/>
      </c>
      <c r="F41" s="22">
        <f>-0</f>
        <v/>
      </c>
      <c r="G41" s="22">
        <f>-239257</f>
        <v/>
      </c>
      <c r="H41" s="22">
        <f>0</f>
        <v/>
      </c>
      <c r="I41" s="22">
        <f>0</f>
        <v/>
      </c>
    </row>
    <row r="42">
      <c r="B42" t="inlineStr">
        <is>
          <t>Safety, Recruiting &amp; Training</t>
        </is>
      </c>
      <c r="C42" s="22">
        <f>-0</f>
        <v/>
      </c>
      <c r="D42" s="22">
        <f>-0</f>
        <v/>
      </c>
      <c r="E42" s="22">
        <f>-0</f>
        <v/>
      </c>
      <c r="F42" s="22">
        <f>-0</f>
        <v/>
      </c>
      <c r="G42" s="22">
        <f>-209181</f>
        <v/>
      </c>
      <c r="H42" s="22">
        <f>0</f>
        <v/>
      </c>
      <c r="I42" s="22">
        <f>0</f>
        <v/>
      </c>
    </row>
    <row r="43">
      <c r="B43" t="inlineStr">
        <is>
          <t>Insurance - G&amp;A</t>
        </is>
      </c>
      <c r="C43" s="22">
        <f>-0</f>
        <v/>
      </c>
      <c r="D43" s="22">
        <f>-0</f>
        <v/>
      </c>
      <c r="E43" s="22">
        <f>-0</f>
        <v/>
      </c>
      <c r="F43" s="22">
        <f>-0</f>
        <v/>
      </c>
      <c r="G43" s="22">
        <f>-1202065</f>
        <v/>
      </c>
      <c r="H43" s="22">
        <f>0</f>
        <v/>
      </c>
      <c r="I43" s="22">
        <f>0</f>
        <v/>
      </c>
    </row>
    <row r="44">
      <c r="B44" t="inlineStr">
        <is>
          <t>Bank Fees</t>
        </is>
      </c>
      <c r="C44" s="22">
        <f>-0</f>
        <v/>
      </c>
      <c r="D44" s="22">
        <f>-0</f>
        <v/>
      </c>
      <c r="E44" s="22">
        <f>-0</f>
        <v/>
      </c>
      <c r="F44" s="22">
        <f>-0</f>
        <v/>
      </c>
      <c r="G44" s="22">
        <f>-656039</f>
        <v/>
      </c>
      <c r="H44" s="22">
        <f>0</f>
        <v/>
      </c>
      <c r="I44" s="22">
        <f>0</f>
        <v/>
      </c>
    </row>
    <row r="45">
      <c r="B45" s="186" t="inlineStr">
        <is>
          <t>Total Operating Expenses</t>
        </is>
      </c>
      <c r="C45" s="187">
        <f>SUM(C33:C44)</f>
        <v/>
      </c>
      <c r="D45" s="187">
        <f>SUM(D33:D44)</f>
        <v/>
      </c>
      <c r="E45" s="187">
        <f>SUM(E33:E44)</f>
        <v/>
      </c>
      <c r="F45" s="187">
        <f>SUM(F33:F44)</f>
        <v/>
      </c>
      <c r="G45" s="187">
        <f>SUM(G33:G44)</f>
        <v/>
      </c>
      <c r="H45" s="187">
        <f>SUM(H33:H44)</f>
        <v/>
      </c>
      <c r="I45" s="187">
        <f>SUM(I33:I44)</f>
        <v/>
      </c>
    </row>
    <row r="46">
      <c r="B46" s="186" t="inlineStr">
        <is>
          <t>EBIT (Operating Income)</t>
        </is>
      </c>
      <c r="C46" s="188">
        <f>C30+C45</f>
        <v/>
      </c>
      <c r="D46" s="188">
        <f>D30+D45</f>
        <v/>
      </c>
      <c r="E46" s="188">
        <f>E30+E45</f>
        <v/>
      </c>
      <c r="F46" s="188">
        <f>F30+F45</f>
        <v/>
      </c>
      <c r="G46" s="188">
        <f>G30+G45</f>
        <v/>
      </c>
      <c r="H46" s="188">
        <f>H30+H45</f>
        <v/>
      </c>
      <c r="I46" s="188">
        <f>I30+I45</f>
        <v/>
      </c>
    </row>
    <row r="48">
      <c r="A48" s="184" t="inlineStr">
        <is>
          <t>OTHER INCOME/EXPENSE DETAIL</t>
        </is>
      </c>
      <c r="B48" s="185" t="n"/>
      <c r="C48" s="185" t="n"/>
      <c r="D48" s="185" t="n"/>
      <c r="E48" s="185" t="n"/>
      <c r="F48" s="185" t="n"/>
      <c r="G48" s="185" t="n"/>
      <c r="H48" s="185" t="n"/>
      <c r="I48" s="185" t="n"/>
      <c r="J48" s="185" t="n"/>
    </row>
    <row r="49">
      <c r="B49" t="inlineStr">
        <is>
          <t>Interest Expense</t>
        </is>
      </c>
      <c r="C49" s="22">
        <f>-1012985</f>
        <v/>
      </c>
      <c r="D49" s="22">
        <f>-1341181</f>
        <v/>
      </c>
      <c r="E49" s="22">
        <f>-1883811</f>
        <v/>
      </c>
      <c r="F49" s="22">
        <f>-2145851</f>
        <v/>
      </c>
      <c r="G49" s="22">
        <f>-2186957</f>
        <v/>
      </c>
      <c r="H49" s="118">
        <f>'Income Statement'!H51</f>
        <v/>
      </c>
      <c r="I49" s="118">
        <f>'Income Statement'!I51</f>
        <v/>
      </c>
      <c r="J49" t="inlineStr">
        <is>
          <t>Interest on debt per Debt Schedule. Key focus item.</t>
        </is>
      </c>
    </row>
    <row r="50">
      <c r="B50" t="inlineStr">
        <is>
          <t>Interest Income</t>
        </is>
      </c>
      <c r="C50" s="22">
        <f>-0</f>
        <v/>
      </c>
      <c r="D50" s="22">
        <f>-0</f>
        <v/>
      </c>
      <c r="E50" s="22">
        <f>--45437</f>
        <v/>
      </c>
      <c r="F50" s="22">
        <f>--24128</f>
        <v/>
      </c>
      <c r="G50" s="22">
        <f>--33</f>
        <v/>
      </c>
      <c r="H50" s="22">
        <f>0</f>
        <v/>
      </c>
      <c r="I50" s="22">
        <f>0</f>
        <v/>
      </c>
    </row>
    <row r="51">
      <c r="B51" t="inlineStr">
        <is>
          <t>Gain/Loss on Investments</t>
        </is>
      </c>
      <c r="C51" s="22">
        <f>-0</f>
        <v/>
      </c>
      <c r="D51" s="22">
        <f>-222979</f>
        <v/>
      </c>
      <c r="E51" s="22">
        <f>-0</f>
        <v/>
      </c>
      <c r="F51" s="22">
        <f>-0</f>
        <v/>
      </c>
      <c r="G51" s="22">
        <f>-0</f>
        <v/>
      </c>
      <c r="H51" s="22">
        <f>0</f>
        <v/>
      </c>
      <c r="I51" s="22">
        <f>0</f>
        <v/>
      </c>
    </row>
    <row r="52">
      <c r="B52" t="inlineStr">
        <is>
          <t>Insurance Recovery</t>
        </is>
      </c>
      <c r="C52" s="22">
        <f>-0</f>
        <v/>
      </c>
      <c r="D52" s="22">
        <f>-0</f>
        <v/>
      </c>
      <c r="E52" s="22">
        <f>--2669372</f>
        <v/>
      </c>
      <c r="F52" s="22">
        <f>--391353</f>
        <v/>
      </c>
      <c r="G52" s="22">
        <f>-0</f>
        <v/>
      </c>
      <c r="H52" s="22">
        <f>0</f>
        <v/>
      </c>
      <c r="I52" s="22">
        <f>0</f>
        <v/>
      </c>
      <c r="J52" t="inlineStr">
        <is>
          <t>2023 large recovery ($2.7M). One-time / non-recurring.</t>
        </is>
      </c>
    </row>
    <row r="53">
      <c r="B53" t="inlineStr">
        <is>
          <t>PPP Loan Forgiveness / Other</t>
        </is>
      </c>
      <c r="C53" s="22">
        <f>--1044213</f>
        <v/>
      </c>
      <c r="D53" s="22">
        <f>--18567</f>
        <v/>
      </c>
      <c r="E53" s="22">
        <f>--94042</f>
        <v/>
      </c>
      <c r="F53" s="22">
        <f>--66326</f>
        <v/>
      </c>
      <c r="G53" s="22">
        <f>--27445</f>
        <v/>
      </c>
      <c r="H53" s="22">
        <f>0</f>
        <v/>
      </c>
      <c r="I53" s="22">
        <f>0</f>
        <v/>
      </c>
      <c r="J53" t="inlineStr">
        <is>
          <t>2021 includes PPP forgiveness ($1.98M). Non-recurring.</t>
        </is>
      </c>
    </row>
    <row r="54">
      <c r="B54" s="186" t="inlineStr">
        <is>
          <t>Total Other Income / (Expense)</t>
        </is>
      </c>
      <c r="C54" s="187">
        <f>SUM(C49:C53)</f>
        <v/>
      </c>
      <c r="D54" s="187">
        <f>SUM(D49:D53)</f>
        <v/>
      </c>
      <c r="E54" s="187">
        <f>SUM(E49:E53)</f>
        <v/>
      </c>
      <c r="F54" s="187">
        <f>SUM(F49:F53)</f>
        <v/>
      </c>
      <c r="G54" s="187">
        <f>SUM(G49:G53)</f>
        <v/>
      </c>
      <c r="H54" s="187">
        <f>SUM(H49:H53)</f>
        <v/>
      </c>
      <c r="I54" s="187">
        <f>SUM(I49:I53)</f>
        <v/>
      </c>
    </row>
    <row r="56">
      <c r="A56" s="184" t="inlineStr">
        <is>
          <t>NET INCOME</t>
        </is>
      </c>
      <c r="B56" s="185" t="n"/>
      <c r="C56" s="185" t="n"/>
      <c r="D56" s="185" t="n"/>
      <c r="E56" s="185" t="n"/>
      <c r="F56" s="185" t="n"/>
      <c r="G56" s="185" t="n"/>
      <c r="H56" s="185" t="n"/>
      <c r="I56" s="185" t="n"/>
      <c r="J56" s="185" t="n"/>
    </row>
    <row r="57">
      <c r="B57" s="186" t="inlineStr">
        <is>
          <t>Pre-Tax Income (EBT)</t>
        </is>
      </c>
      <c r="C57" s="189">
        <f>C46+C54</f>
        <v/>
      </c>
      <c r="D57" s="189">
        <f>D46+D54</f>
        <v/>
      </c>
      <c r="E57" s="189">
        <f>E46+E54</f>
        <v/>
      </c>
      <c r="F57" s="189">
        <f>F46+F54</f>
        <v/>
      </c>
      <c r="G57" s="189">
        <f>G46+G54</f>
        <v/>
      </c>
      <c r="H57" s="189">
        <f>H46+H54</f>
        <v/>
      </c>
      <c r="I57" s="189">
        <f>I46+I54</f>
        <v/>
      </c>
    </row>
    <row r="58">
      <c r="B58" t="inlineStr">
        <is>
          <t>Tax Expense (S-Corp)</t>
        </is>
      </c>
      <c r="C58" s="22">
        <f>0</f>
        <v/>
      </c>
      <c r="D58" s="22">
        <f>0</f>
        <v/>
      </c>
      <c r="E58" s="22">
        <f>0</f>
        <v/>
      </c>
      <c r="F58" s="22">
        <f>0</f>
        <v/>
      </c>
      <c r="G58" s="22">
        <f>-1206</f>
        <v/>
      </c>
      <c r="H58" s="22">
        <f>0</f>
        <v/>
      </c>
      <c r="I58" s="22">
        <f>0</f>
        <v/>
      </c>
    </row>
    <row r="59">
      <c r="B59" s="190" t="inlineStr">
        <is>
          <t>Net Income</t>
        </is>
      </c>
      <c r="C59" s="191">
        <f>C57+C58</f>
        <v/>
      </c>
      <c r="D59" s="191">
        <f>D57+D58</f>
        <v/>
      </c>
      <c r="E59" s="191">
        <f>E57+E58</f>
        <v/>
      </c>
      <c r="F59" s="191">
        <f>F57+F58</f>
        <v/>
      </c>
      <c r="G59" s="191">
        <f>G57+G58</f>
        <v/>
      </c>
      <c r="H59" s="191">
        <f>H57+H58</f>
        <v/>
      </c>
      <c r="I59" s="191">
        <f>I57+I58</f>
        <v/>
      </c>
    </row>
    <row r="61">
      <c r="A61" s="184" t="inlineStr">
        <is>
          <t>RECONCILIATION</t>
        </is>
      </c>
      <c r="B61" s="185" t="n"/>
      <c r="C61" s="185" t="n"/>
      <c r="D61" s="185" t="n"/>
      <c r="E61" s="185" t="n"/>
      <c r="F61" s="185" t="n"/>
      <c r="G61" s="185" t="n"/>
      <c r="H61" s="185" t="n"/>
      <c r="I61" s="185" t="n"/>
      <c r="J61" s="185" t="n"/>
    </row>
    <row r="62">
      <c r="B62" s="20" t="inlineStr">
        <is>
          <t>P&amp;L Detail Net Income vs IS Net Income (must be 0)</t>
        </is>
      </c>
      <c r="C62" s="192">
        <f>C59-'Income Statement'!C58</f>
        <v/>
      </c>
      <c r="D62" s="192">
        <f>D59-'Income Statement'!D58</f>
        <v/>
      </c>
      <c r="E62" s="192">
        <f>E59-'Income Statement'!E58</f>
        <v/>
      </c>
      <c r="F62" s="192">
        <f>F59-'Income Statement'!F58</f>
        <v/>
      </c>
      <c r="G62" s="192">
        <f>G59-'Income Statement'!G58</f>
        <v/>
      </c>
      <c r="H62" s="192">
        <f>H59-'Income Statement'!H58</f>
        <v/>
      </c>
      <c r="I62" s="192">
        <f>I59-'Income Statement'!I58</f>
        <v/>
      </c>
    </row>
    <row r="63">
      <c r="B63" s="20" t="inlineStr">
        <is>
          <t>Total Revenue Variance vs IS (must be 0)</t>
        </is>
      </c>
      <c r="C63" s="192">
        <f>C14-'Income Statement'!C12</f>
        <v/>
      </c>
      <c r="D63" s="192">
        <f>D14-'Income Statement'!D12</f>
        <v/>
      </c>
      <c r="E63" s="192">
        <f>E14-'Income Statement'!E12</f>
        <v/>
      </c>
      <c r="F63" s="192">
        <f>F14-'Income Statement'!F12</f>
        <v/>
      </c>
      <c r="G63" s="192">
        <f>G14-'Income Statement'!G12</f>
        <v/>
      </c>
      <c r="H63" s="192">
        <f>H14-'Income Statement'!H12</f>
        <v/>
      </c>
      <c r="I63" s="192">
        <f>I14-'Income Statement'!I12</f>
        <v/>
      </c>
    </row>
    <row r="64">
      <c r="B64" s="20" t="inlineStr">
        <is>
          <t>Total COGS Variance vs IS (must be 0)</t>
        </is>
      </c>
      <c r="C64" s="192">
        <f>C29-'Income Statement'!C27</f>
        <v/>
      </c>
      <c r="D64" s="192">
        <f>D29-'Income Statement'!D27</f>
        <v/>
      </c>
      <c r="E64" s="192">
        <f>E29-'Income Statement'!E27</f>
        <v/>
      </c>
      <c r="F64" s="192">
        <f>F29-'Income Statement'!F27</f>
        <v/>
      </c>
      <c r="G64" s="192">
        <f>G29-'Income Statement'!G27</f>
        <v/>
      </c>
      <c r="H64" s="192">
        <f>H29-'Income Statement'!H27</f>
        <v/>
      </c>
      <c r="I64" s="192">
        <f>I29-'Income Statement'!I27</f>
        <v/>
      </c>
    </row>
    <row r="65">
      <c r="B65" s="20" t="inlineStr">
        <is>
          <t>Total OpEx Variance vs IS (must be 0)</t>
        </is>
      </c>
      <c r="C65" s="192">
        <f>C45-'Income Statement'!C44</f>
        <v/>
      </c>
      <c r="D65" s="192">
        <f>D45-'Income Statement'!D44</f>
        <v/>
      </c>
      <c r="E65" s="192">
        <f>E45-'Income Statement'!E44</f>
        <v/>
      </c>
      <c r="F65" s="192">
        <f>F45-'Income Statement'!F44</f>
        <v/>
      </c>
      <c r="G65" s="192">
        <f>G45-'Income Statement'!G44</f>
        <v/>
      </c>
      <c r="H65" s="192">
        <f>H45-'Income Statement'!H44</f>
        <v/>
      </c>
      <c r="I65" s="192">
        <f>I45-'Income Statement'!I44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27.xml><?xml version="1.0" encoding="utf-8"?>
<worksheet xmlns="http://schemas.openxmlformats.org/spreadsheetml/2006/main">
  <sheetPr>
    <tabColor rgb="00006064"/>
    <outlinePr summaryBelow="1" summaryRight="1"/>
    <pageSetUpPr/>
  </sheetPr>
  <dimension ref="A1:J65"/>
  <sheetViews>
    <sheetView workbookViewId="0">
      <pane xSplit="2" ySplit="2" topLeftCell="C3" activePane="bottomRight" state="frozen"/>
      <selection pane="top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6" customWidth="1" min="1" max="1"/>
    <col width="4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45" customWidth="1" min="10" max="10"/>
  </cols>
  <sheetData>
    <row r="1">
      <c r="B1" s="193" t="inlineStr">
        <is>
          <t>Quality of Earnings (QoE) Analysis</t>
        </is>
      </c>
    </row>
    <row r="2">
      <c r="B2" s="41" t="inlineStr">
        <is>
          <t>Description</t>
        </is>
      </c>
      <c r="C2" s="88" t="inlineStr">
        <is>
          <t>2021A</t>
        </is>
      </c>
      <c r="D2" s="88" t="inlineStr">
        <is>
          <t>2022A</t>
        </is>
      </c>
      <c r="E2" s="88" t="inlineStr">
        <is>
          <t>2023A</t>
        </is>
      </c>
      <c r="F2" s="88" t="inlineStr">
        <is>
          <t>2024A</t>
        </is>
      </c>
      <c r="G2" s="88" t="inlineStr">
        <is>
          <t>2025A</t>
        </is>
      </c>
      <c r="H2" s="88" t="inlineStr">
        <is>
          <t>2026E</t>
        </is>
      </c>
      <c r="I2" s="88" t="inlineStr">
        <is>
          <t>2027E</t>
        </is>
      </c>
      <c r="J2" s="41" t="inlineStr">
        <is>
          <t>Notes</t>
        </is>
      </c>
    </row>
    <row r="4">
      <c r="A4" s="194" t="inlineStr">
        <is>
          <t>REPORTED FINANCIALS</t>
        </is>
      </c>
      <c r="B4" s="195" t="n"/>
      <c r="C4" s="195" t="n"/>
      <c r="D4" s="195" t="n"/>
      <c r="E4" s="195" t="n"/>
      <c r="F4" s="195" t="n"/>
      <c r="G4" s="195" t="n"/>
      <c r="H4" s="195" t="n"/>
      <c r="I4" s="195" t="n"/>
      <c r="J4" s="195" t="n"/>
    </row>
    <row r="5">
      <c r="B5" s="63" t="inlineStr">
        <is>
          <t>Revenue</t>
        </is>
      </c>
      <c r="C5" s="196">
        <f>'Income Statement'!C12</f>
        <v/>
      </c>
      <c r="D5" s="196">
        <f>'Income Statement'!D12</f>
        <v/>
      </c>
      <c r="E5" s="196">
        <f>'Income Statement'!E12</f>
        <v/>
      </c>
      <c r="F5" s="196">
        <f>'Income Statement'!F12</f>
        <v/>
      </c>
      <c r="G5" s="196">
        <f>'Income Statement'!G12</f>
        <v/>
      </c>
      <c r="H5" s="196">
        <f>'Income Statement'!H12</f>
        <v/>
      </c>
      <c r="I5" s="196">
        <f>'Income Statement'!I12</f>
        <v/>
      </c>
    </row>
    <row r="6">
      <c r="B6" s="63" t="inlineStr">
        <is>
          <t>Gross Profit</t>
        </is>
      </c>
      <c r="C6" s="196">
        <f>'Income Statement'!C29</f>
        <v/>
      </c>
      <c r="D6" s="196">
        <f>'Income Statement'!D29</f>
        <v/>
      </c>
      <c r="E6" s="196">
        <f>'Income Statement'!E29</f>
        <v/>
      </c>
      <c r="F6" s="196">
        <f>'Income Statement'!F29</f>
        <v/>
      </c>
      <c r="G6" s="196">
        <f>'Income Statement'!G29</f>
        <v/>
      </c>
      <c r="H6" s="196">
        <f>'Income Statement'!H29</f>
        <v/>
      </c>
      <c r="I6" s="196">
        <f>'Income Statement'!I29</f>
        <v/>
      </c>
    </row>
    <row r="7">
      <c r="B7" s="63" t="inlineStr">
        <is>
          <t>Gross Margin %</t>
        </is>
      </c>
      <c r="C7" s="197">
        <f>IF(C5=0,0,C6/C5)</f>
        <v/>
      </c>
      <c r="D7" s="197">
        <f>IF(D5=0,0,D6/D5)</f>
        <v/>
      </c>
      <c r="E7" s="197">
        <f>IF(E5=0,0,E6/E5)</f>
        <v/>
      </c>
      <c r="F7" s="197">
        <f>IF(F5=0,0,F6/F5)</f>
        <v/>
      </c>
      <c r="G7" s="197">
        <f>IF(G5=0,0,G6/G5)</f>
        <v/>
      </c>
      <c r="H7" s="197">
        <f>IF(H5=0,0,H6/H5)</f>
        <v/>
      </c>
      <c r="I7" s="197">
        <f>IF(I5=0,0,I6/I5)</f>
        <v/>
      </c>
    </row>
    <row r="8">
      <c r="B8" s="63" t="inlineStr">
        <is>
          <t>EBITDA (Reported)</t>
        </is>
      </c>
      <c r="C8" s="196">
        <f>'Income Statement'!C48</f>
        <v/>
      </c>
      <c r="D8" s="196">
        <f>'Income Statement'!D48</f>
        <v/>
      </c>
      <c r="E8" s="196">
        <f>'Income Statement'!E48</f>
        <v/>
      </c>
      <c r="F8" s="196">
        <f>'Income Statement'!F48</f>
        <v/>
      </c>
      <c r="G8" s="196">
        <f>'Income Statement'!G48</f>
        <v/>
      </c>
      <c r="H8" s="196">
        <f>'Income Statement'!H48</f>
        <v/>
      </c>
      <c r="I8" s="196">
        <f>'Income Statement'!I48</f>
        <v/>
      </c>
    </row>
    <row r="9">
      <c r="B9" s="63" t="inlineStr">
        <is>
          <t>EBITDA Margin %</t>
        </is>
      </c>
      <c r="C9" s="197">
        <f>IF(C5=0,0,C8/C5)</f>
        <v/>
      </c>
      <c r="D9" s="197">
        <f>IF(D5=0,0,D8/D5)</f>
        <v/>
      </c>
      <c r="E9" s="197">
        <f>IF(E5=0,0,E8/E5)</f>
        <v/>
      </c>
      <c r="F9" s="197">
        <f>IF(F5=0,0,F8/F5)</f>
        <v/>
      </c>
      <c r="G9" s="197">
        <f>IF(G5=0,0,G8/G5)</f>
        <v/>
      </c>
      <c r="H9" s="197">
        <f>IF(H5=0,0,H8/H5)</f>
        <v/>
      </c>
      <c r="I9" s="197">
        <f>IF(I5=0,0,I8/I5)</f>
        <v/>
      </c>
    </row>
    <row r="10">
      <c r="B10" s="63" t="inlineStr">
        <is>
          <t>Net Income (Reported)</t>
        </is>
      </c>
      <c r="C10" s="196">
        <f>'Income Statement'!C58</f>
        <v/>
      </c>
      <c r="D10" s="196">
        <f>'Income Statement'!D58</f>
        <v/>
      </c>
      <c r="E10" s="196">
        <f>'Income Statement'!E58</f>
        <v/>
      </c>
      <c r="F10" s="196">
        <f>'Income Statement'!F58</f>
        <v/>
      </c>
      <c r="G10" s="196">
        <f>'Income Statement'!G58</f>
        <v/>
      </c>
      <c r="H10" s="196">
        <f>'Income Statement'!H58</f>
        <v/>
      </c>
      <c r="I10" s="196">
        <f>'Income Statement'!I58</f>
        <v/>
      </c>
    </row>
    <row r="11">
      <c r="B11" s="63" t="inlineStr">
        <is>
          <t>Net Income Margin %</t>
        </is>
      </c>
      <c r="C11" s="197">
        <f>IF(C5=0,0,C10/C5)</f>
        <v/>
      </c>
      <c r="D11" s="197">
        <f>IF(D5=0,0,D10/D5)</f>
        <v/>
      </c>
      <c r="E11" s="197">
        <f>IF(E5=0,0,E10/E5)</f>
        <v/>
      </c>
      <c r="F11" s="197">
        <f>IF(F5=0,0,F10/F5)</f>
        <v/>
      </c>
      <c r="G11" s="197">
        <f>IF(G5=0,0,G10/G5)</f>
        <v/>
      </c>
      <c r="H11" s="197">
        <f>IF(H5=0,0,H10/H5)</f>
        <v/>
      </c>
      <c r="I11" s="197">
        <f>IF(I5=0,0,I10/I5)</f>
        <v/>
      </c>
    </row>
    <row r="15">
      <c r="A15" s="194" t="inlineStr">
        <is>
          <t>DUE DILIGENCE ADJUSTMENTS</t>
        </is>
      </c>
      <c r="B15" s="195" t="n"/>
      <c r="C15" s="195" t="n"/>
      <c r="D15" s="195" t="n"/>
      <c r="E15" s="195" t="n"/>
      <c r="F15" s="195" t="n"/>
      <c r="G15" s="195" t="n"/>
      <c r="H15" s="195" t="n"/>
      <c r="I15" s="195" t="n"/>
      <c r="J15" s="195" t="n"/>
    </row>
    <row r="17">
      <c r="B17" s="34" t="inlineStr">
        <is>
          <t>PPP Loan Forgiveness (2020 carryover)</t>
        </is>
      </c>
      <c r="C17" s="35">
        <f>0</f>
        <v/>
      </c>
      <c r="D17" s="35">
        <f>0</f>
        <v/>
      </c>
      <c r="E17" s="35">
        <f>0</f>
        <v/>
      </c>
      <c r="F17" s="35">
        <f>0</f>
        <v/>
      </c>
      <c r="G17" s="35">
        <f>0</f>
        <v/>
      </c>
      <c r="H17" s="35">
        <f>0</f>
        <v/>
      </c>
      <c r="I17" s="35">
        <f>0</f>
        <v/>
      </c>
      <c r="J17" s="73" t="inlineStr">
        <is>
          <t>PPP forgiveness recognized in 2020. Non-recurring item. No adjustment needed in 2021+ periods.</t>
        </is>
      </c>
    </row>
    <row r="18">
      <c r="B18" s="34" t="inlineStr">
        <is>
          <t>Insurance Recovery Adjustment - 2023</t>
        </is>
      </c>
      <c r="C18" s="35">
        <f>0</f>
        <v/>
      </c>
      <c r="D18" s="35">
        <f>0</f>
        <v/>
      </c>
      <c r="E18" s="35">
        <f>-2669372</f>
        <v/>
      </c>
      <c r="F18" s="35">
        <f>0</f>
        <v/>
      </c>
      <c r="G18" s="35">
        <f>0</f>
        <v/>
      </c>
      <c r="H18" s="35">
        <f>0</f>
        <v/>
      </c>
      <c r="I18" s="35">
        <f>0</f>
        <v/>
      </c>
      <c r="J18" s="73" t="inlineStr">
        <is>
          <t>Remove 2023 insurance recovery ($2.7M). Non-recurring gain.</t>
        </is>
      </c>
    </row>
    <row r="19">
      <c r="B19" s="34" t="inlineStr">
        <is>
          <t>Insurance Recovery Adjustment - 2024</t>
        </is>
      </c>
      <c r="C19" s="35">
        <f>0</f>
        <v/>
      </c>
      <c r="D19" s="35">
        <f>0</f>
        <v/>
      </c>
      <c r="E19" s="35">
        <f>0</f>
        <v/>
      </c>
      <c r="F19" s="35">
        <f>-391353</f>
        <v/>
      </c>
      <c r="G19" s="35">
        <f>0</f>
        <v/>
      </c>
      <c r="H19" s="35">
        <f>0</f>
        <v/>
      </c>
      <c r="I19" s="35">
        <f>0</f>
        <v/>
      </c>
      <c r="J19" s="73" t="inlineStr">
        <is>
          <t>Remove 2024 insurance recovery ($391K). Non-recurring gain.</t>
        </is>
      </c>
    </row>
    <row r="20">
      <c r="B20" s="34" t="inlineStr">
        <is>
          <t>Other Income Normalization</t>
        </is>
      </c>
      <c r="C20" s="35">
        <f>-1044213</f>
        <v/>
      </c>
      <c r="D20" s="35">
        <f>0</f>
        <v/>
      </c>
      <c r="E20" s="35">
        <f>0</f>
        <v/>
      </c>
      <c r="F20" s="35">
        <f>0</f>
        <v/>
      </c>
      <c r="G20" s="35">
        <f>0</f>
        <v/>
      </c>
      <c r="H20" s="35">
        <f>0</f>
        <v/>
      </c>
      <c r="I20" s="35">
        <f>0</f>
        <v/>
      </c>
      <c r="J20" s="73" t="inlineStr">
        <is>
          <t>2021 Other Income normalization. Includes PPP-related items.</t>
        </is>
      </c>
    </row>
    <row r="21">
      <c r="B21" s="34" t="inlineStr">
        <is>
          <t>Gain on Asset Sales Normalization</t>
        </is>
      </c>
      <c r="C21" s="35">
        <f>-248398</f>
        <v/>
      </c>
      <c r="D21" s="35">
        <f>-1378969</f>
        <v/>
      </c>
      <c r="E21" s="35">
        <f>-1712828</f>
        <v/>
      </c>
      <c r="F21" s="35">
        <f>-259386</f>
        <v/>
      </c>
      <c r="G21" s="35">
        <f>-87716</f>
        <v/>
      </c>
      <c r="H21" s="35">
        <f>0</f>
        <v/>
      </c>
      <c r="I21" s="35">
        <f>0</f>
        <v/>
      </c>
      <c r="J21" s="73" t="inlineStr">
        <is>
          <t>Remove gains on asset sales. Non-recurring / non-operating.</t>
        </is>
      </c>
    </row>
    <row r="22">
      <c r="B22" s="34" t="inlineStr">
        <is>
          <t>Loss on Investments - 2022</t>
        </is>
      </c>
      <c r="C22" s="35">
        <f>0</f>
        <v/>
      </c>
      <c r="D22" s="35">
        <f>222979</f>
        <v/>
      </c>
      <c r="E22" s="35">
        <f>0</f>
        <v/>
      </c>
      <c r="F22" s="35">
        <f>0</f>
        <v/>
      </c>
      <c r="G22" s="35">
        <f>0</f>
        <v/>
      </c>
      <c r="H22" s="35">
        <f>0</f>
        <v/>
      </c>
      <c r="I22" s="35">
        <f>0</f>
        <v/>
      </c>
      <c r="J22" s="73" t="inlineStr">
        <is>
          <t>Add back 2022 investment loss. Non-recurring.</t>
        </is>
      </c>
    </row>
    <row r="23">
      <c r="B23" s="34" t="inlineStr">
        <is>
          <t>Owner Compensation Normalization</t>
        </is>
      </c>
      <c r="C23" s="72">
        <f>0</f>
        <v/>
      </c>
      <c r="D23" s="72">
        <f>0</f>
        <v/>
      </c>
      <c r="E23" s="72">
        <f>0</f>
        <v/>
      </c>
      <c r="F23" s="72">
        <f>0</f>
        <v/>
      </c>
      <c r="G23" s="72">
        <f>0</f>
        <v/>
      </c>
      <c r="H23" s="72">
        <f>0</f>
        <v/>
      </c>
      <c r="I23" s="72">
        <f>0</f>
        <v/>
      </c>
      <c r="J23" s="73" t="inlineStr">
        <is>
          <t>TBD - Requires owner comp analysis vs. market rate.</t>
        </is>
      </c>
    </row>
    <row r="24">
      <c r="B24" s="34" t="inlineStr">
        <is>
          <t>Non-Recurring Legal/Professional Fees</t>
        </is>
      </c>
      <c r="C24" s="72">
        <f>0</f>
        <v/>
      </c>
      <c r="D24" s="72">
        <f>0</f>
        <v/>
      </c>
      <c r="E24" s="72">
        <f>0</f>
        <v/>
      </c>
      <c r="F24" s="72">
        <f>0</f>
        <v/>
      </c>
      <c r="G24" s="72">
        <f>0</f>
        <v/>
      </c>
      <c r="H24" s="72">
        <f>0</f>
        <v/>
      </c>
      <c r="I24" s="72">
        <f>0</f>
        <v/>
      </c>
      <c r="J24" s="73" t="inlineStr">
        <is>
          <t>TBD - Identify one-time legal/professional fees in 2025.</t>
        </is>
      </c>
    </row>
    <row r="25">
      <c r="B25" s="34" t="inlineStr">
        <is>
          <t>Related Party Rent Adjustment</t>
        </is>
      </c>
      <c r="C25" s="72">
        <f>0</f>
        <v/>
      </c>
      <c r="D25" s="72">
        <f>0</f>
        <v/>
      </c>
      <c r="E25" s="72">
        <f>0</f>
        <v/>
      </c>
      <c r="F25" s="72">
        <f>0</f>
        <v/>
      </c>
      <c r="G25" s="72">
        <f>0</f>
        <v/>
      </c>
      <c r="H25" s="72">
        <f>0</f>
        <v/>
      </c>
      <c r="I25" s="72">
        <f>0</f>
        <v/>
      </c>
      <c r="J25" s="73" t="inlineStr">
        <is>
          <t>TBD - Analyze related party rent vs. market rate.</t>
        </is>
      </c>
    </row>
    <row r="26">
      <c r="B26" s="34" t="inlineStr">
        <is>
          <t>Non-Operating Vehicle Adjustment (Corvette)</t>
        </is>
      </c>
      <c r="C26" s="72">
        <f>0</f>
        <v/>
      </c>
      <c r="D26" s="72">
        <f>0</f>
        <v/>
      </c>
      <c r="E26" s="72">
        <f>0</f>
        <v/>
      </c>
      <c r="F26" s="72">
        <f>0</f>
        <v/>
      </c>
      <c r="G26" s="72">
        <f>0</f>
        <v/>
      </c>
      <c r="H26" s="72">
        <f>0</f>
        <v/>
      </c>
      <c r="I26" s="72">
        <f>0</f>
        <v/>
      </c>
      <c r="J26" s="73" t="inlineStr">
        <is>
          <t>TBD - Corvette ($79K loan) - personal use vehicle?</t>
        </is>
      </c>
    </row>
    <row r="27">
      <c r="B27" s="34" t="inlineStr">
        <is>
          <t>Forbearance/Restructuring Costs</t>
        </is>
      </c>
      <c r="C27" s="72">
        <f>0</f>
        <v/>
      </c>
      <c r="D27" s="72">
        <f>0</f>
        <v/>
      </c>
      <c r="E27" s="72">
        <f>0</f>
        <v/>
      </c>
      <c r="F27" s="72">
        <f>0</f>
        <v/>
      </c>
      <c r="G27" s="72">
        <f>0</f>
        <v/>
      </c>
      <c r="H27" s="72">
        <f>0</f>
        <v/>
      </c>
      <c r="I27" s="72">
        <f>0</f>
        <v/>
      </c>
      <c r="J27" s="73" t="inlineStr">
        <is>
          <t>TBD - Identify forbearance/refinancing costs in 2024-2025.</t>
        </is>
      </c>
    </row>
    <row r="28">
      <c r="B28" s="34" t="inlineStr">
        <is>
          <t>Bank Fees - One-Time Items</t>
        </is>
      </c>
      <c r="C28" s="72">
        <f>0</f>
        <v/>
      </c>
      <c r="D28" s="72">
        <f>0</f>
        <v/>
      </c>
      <c r="E28" s="72">
        <f>0</f>
        <v/>
      </c>
      <c r="F28" s="72">
        <f>0</f>
        <v/>
      </c>
      <c r="G28" s="72">
        <f>0</f>
        <v/>
      </c>
      <c r="H28" s="72">
        <f>0</f>
        <v/>
      </c>
      <c r="I28" s="72">
        <f>0</f>
        <v/>
      </c>
      <c r="J28" s="73" t="inlineStr">
        <is>
          <t>TBD - Identify one-time bank fees from 2025 refinancing.</t>
        </is>
      </c>
    </row>
    <row r="30">
      <c r="B30" s="41" t="inlineStr">
        <is>
          <t>Total Due Diligence Adjustments</t>
        </is>
      </c>
      <c r="C30" s="116">
        <f>SUM(C17:C28)</f>
        <v/>
      </c>
      <c r="D30" s="116">
        <f>SUM(D17:D28)</f>
        <v/>
      </c>
      <c r="E30" s="116">
        <f>SUM(E17:E28)</f>
        <v/>
      </c>
      <c r="F30" s="116">
        <f>SUM(F17:F28)</f>
        <v/>
      </c>
      <c r="G30" s="116">
        <f>SUM(G17:G28)</f>
        <v/>
      </c>
      <c r="H30" s="116">
        <f>SUM(H17:H28)</f>
        <v/>
      </c>
      <c r="I30" s="116">
        <f>SUM(I17:I28)</f>
        <v/>
      </c>
    </row>
    <row r="32">
      <c r="B32" s="41" t="inlineStr">
        <is>
          <t>DD-Adjusted EBITDA</t>
        </is>
      </c>
      <c r="C32" s="116">
        <f>C8+C30</f>
        <v/>
      </c>
      <c r="D32" s="116">
        <f>D8+D30</f>
        <v/>
      </c>
      <c r="E32" s="116">
        <f>E8+E30</f>
        <v/>
      </c>
      <c r="F32" s="116">
        <f>F8+F30</f>
        <v/>
      </c>
      <c r="G32" s="116">
        <f>G8+G30</f>
        <v/>
      </c>
      <c r="H32" s="116">
        <f>H8+H30</f>
        <v/>
      </c>
      <c r="I32" s="116">
        <f>I8+I30</f>
        <v/>
      </c>
    </row>
    <row r="38">
      <c r="A38" s="194" t="inlineStr">
        <is>
          <t>PRO FORMA ADJUSTMENTS</t>
        </is>
      </c>
      <c r="B38" s="195" t="n"/>
      <c r="C38" s="195" t="n"/>
      <c r="D38" s="195" t="n"/>
      <c r="E38" s="195" t="n"/>
      <c r="F38" s="195" t="n"/>
      <c r="G38" s="195" t="n"/>
      <c r="H38" s="195" t="n"/>
      <c r="I38" s="195" t="n"/>
      <c r="J38" s="195" t="n"/>
    </row>
    <row r="40">
      <c r="B40" s="34" t="inlineStr">
        <is>
          <t>Run-Rate Revenue Adjustments</t>
        </is>
      </c>
      <c r="C40" s="72">
        <f>0</f>
        <v/>
      </c>
      <c r="D40" s="72">
        <f>0</f>
        <v/>
      </c>
      <c r="E40" s="72">
        <f>0</f>
        <v/>
      </c>
      <c r="F40" s="72">
        <f>0</f>
        <v/>
      </c>
      <c r="G40" s="72">
        <f>0</f>
        <v/>
      </c>
      <c r="H40" s="72">
        <f>0</f>
        <v/>
      </c>
      <c r="I40" s="72">
        <f>0</f>
        <v/>
      </c>
      <c r="J40" s="73" t="inlineStr">
        <is>
          <t>TBD - Identify any partial-year revenue impacts.</t>
        </is>
      </c>
    </row>
    <row r="41">
      <c r="B41" s="34" t="inlineStr">
        <is>
          <t>Cost Synergies (Post-Acquisition)</t>
        </is>
      </c>
      <c r="C41" s="72">
        <f>0</f>
        <v/>
      </c>
      <c r="D41" s="72">
        <f>0</f>
        <v/>
      </c>
      <c r="E41" s="72">
        <f>0</f>
        <v/>
      </c>
      <c r="F41" s="72">
        <f>0</f>
        <v/>
      </c>
      <c r="G41" s="72">
        <f>0</f>
        <v/>
      </c>
      <c r="H41" s="72">
        <f>0</f>
        <v/>
      </c>
      <c r="I41" s="72">
        <f>0</f>
        <v/>
      </c>
      <c r="J41" s="73" t="inlineStr">
        <is>
          <t>TBD - Buyer-specific synergy estimates.</t>
        </is>
      </c>
    </row>
    <row r="42">
      <c r="B42" s="34" t="inlineStr">
        <is>
          <t>New Management Compensation</t>
        </is>
      </c>
      <c r="C42" s="72">
        <f>0</f>
        <v/>
      </c>
      <c r="D42" s="72">
        <f>0</f>
        <v/>
      </c>
      <c r="E42" s="72">
        <f>0</f>
        <v/>
      </c>
      <c r="F42" s="72">
        <f>0</f>
        <v/>
      </c>
      <c r="G42" s="72">
        <f>0</f>
        <v/>
      </c>
      <c r="H42" s="72">
        <f>0</f>
        <v/>
      </c>
      <c r="I42" s="72">
        <f>0</f>
        <v/>
      </c>
      <c r="J42" s="73" t="inlineStr">
        <is>
          <t>TBD - Estimate new management comp structure.</t>
        </is>
      </c>
    </row>
    <row r="43">
      <c r="B43" s="34" t="inlineStr">
        <is>
          <t>Public Company Costs</t>
        </is>
      </c>
      <c r="C43" s="72">
        <f>0</f>
        <v/>
      </c>
      <c r="D43" s="72">
        <f>0</f>
        <v/>
      </c>
      <c r="E43" s="72">
        <f>0</f>
        <v/>
      </c>
      <c r="F43" s="72">
        <f>0</f>
        <v/>
      </c>
      <c r="G43" s="72">
        <f>0</f>
        <v/>
      </c>
      <c r="H43" s="72">
        <f>0</f>
        <v/>
      </c>
      <c r="I43" s="72">
        <f>0</f>
        <v/>
      </c>
      <c r="J43" s="73" t="inlineStr">
        <is>
          <t>TBD - If buyer is public company, estimate add'l costs.</t>
        </is>
      </c>
    </row>
    <row r="44">
      <c r="B44" s="34" t="inlineStr">
        <is>
          <t>Interest Expense Normalization</t>
        </is>
      </c>
      <c r="C44" s="72">
        <f>0</f>
        <v/>
      </c>
      <c r="D44" s="72">
        <f>0</f>
        <v/>
      </c>
      <c r="E44" s="72">
        <f>0</f>
        <v/>
      </c>
      <c r="F44" s="72">
        <f>0</f>
        <v/>
      </c>
      <c r="G44" s="72">
        <f>0</f>
        <v/>
      </c>
      <c r="H44" s="72">
        <f>0</f>
        <v/>
      </c>
      <c r="I44" s="72">
        <f>0</f>
        <v/>
      </c>
      <c r="J44" s="73" t="inlineStr">
        <is>
          <t>TBD - Adjust for new capital structure.</t>
        </is>
      </c>
    </row>
    <row r="45">
      <c r="B45" s="34" t="inlineStr">
        <is>
          <t>Standalone Entity Costs</t>
        </is>
      </c>
      <c r="C45" s="72">
        <f>0</f>
        <v/>
      </c>
      <c r="D45" s="72">
        <f>0</f>
        <v/>
      </c>
      <c r="E45" s="72">
        <f>0</f>
        <v/>
      </c>
      <c r="F45" s="72">
        <f>0</f>
        <v/>
      </c>
      <c r="G45" s="72">
        <f>0</f>
        <v/>
      </c>
      <c r="H45" s="72">
        <f>0</f>
        <v/>
      </c>
      <c r="I45" s="72">
        <f>0</f>
        <v/>
      </c>
      <c r="J45" s="73" t="inlineStr">
        <is>
          <t>TBD - Identify any carve-out/standalone costs.</t>
        </is>
      </c>
    </row>
    <row r="46">
      <c r="B46" s="34" t="inlineStr">
        <is>
          <t>Lease Accounting Adjustments (ASC 842)</t>
        </is>
      </c>
      <c r="C46" s="72">
        <f>0</f>
        <v/>
      </c>
      <c r="D46" s="72">
        <f>0</f>
        <v/>
      </c>
      <c r="E46" s="72">
        <f>0</f>
        <v/>
      </c>
      <c r="F46" s="72">
        <f>0</f>
        <v/>
      </c>
      <c r="G46" s="72">
        <f>0</f>
        <v/>
      </c>
      <c r="H46" s="72">
        <f>0</f>
        <v/>
      </c>
      <c r="I46" s="72">
        <f>0</f>
        <v/>
      </c>
      <c r="J46" s="73" t="inlineStr">
        <is>
          <t>TBD - Evaluate lease accounting impacts.</t>
        </is>
      </c>
    </row>
    <row r="48">
      <c r="B48" s="41" t="inlineStr">
        <is>
          <t>Total Pro Forma Adjustments</t>
        </is>
      </c>
      <c r="C48" s="116">
        <f>SUM(C40:C46)</f>
        <v/>
      </c>
      <c r="D48" s="116">
        <f>SUM(D40:D46)</f>
        <v/>
      </c>
      <c r="E48" s="116">
        <f>SUM(E40:E46)</f>
        <v/>
      </c>
      <c r="F48" s="116">
        <f>SUM(F40:F46)</f>
        <v/>
      </c>
      <c r="G48" s="116">
        <f>SUM(G40:G46)</f>
        <v/>
      </c>
      <c r="H48" s="116">
        <f>SUM(H40:H46)</f>
        <v/>
      </c>
      <c r="I48" s="116">
        <f>SUM(I40:I46)</f>
        <v/>
      </c>
    </row>
    <row r="53">
      <c r="A53" s="194" t="inlineStr">
        <is>
          <t>ADJUSTED EBITDA SUMMARY</t>
        </is>
      </c>
      <c r="B53" s="195" t="n"/>
      <c r="C53" s="195" t="n"/>
      <c r="D53" s="195" t="n"/>
      <c r="E53" s="195" t="n"/>
      <c r="F53" s="195" t="n"/>
      <c r="G53" s="195" t="n"/>
      <c r="H53" s="195" t="n"/>
      <c r="I53" s="195" t="n"/>
      <c r="J53" s="195" t="n"/>
    </row>
    <row r="55">
      <c r="B55" s="34" t="inlineStr">
        <is>
          <t>Reported EBITDA</t>
        </is>
      </c>
      <c r="C55" s="72">
        <f>C8</f>
        <v/>
      </c>
      <c r="D55" s="72">
        <f>D8</f>
        <v/>
      </c>
      <c r="E55" s="72">
        <f>E8</f>
        <v/>
      </c>
      <c r="F55" s="72">
        <f>F8</f>
        <v/>
      </c>
      <c r="G55" s="72">
        <f>G8</f>
        <v/>
      </c>
      <c r="H55" s="72">
        <f>H8</f>
        <v/>
      </c>
      <c r="I55" s="72">
        <f>I8</f>
        <v/>
      </c>
    </row>
    <row r="56">
      <c r="B56" s="34" t="inlineStr">
        <is>
          <t>Total DD Adjustments</t>
        </is>
      </c>
      <c r="C56" s="72">
        <f>C30</f>
        <v/>
      </c>
      <c r="D56" s="72">
        <f>D30</f>
        <v/>
      </c>
      <c r="E56" s="72">
        <f>E30</f>
        <v/>
      </c>
      <c r="F56" s="72">
        <f>F30</f>
        <v/>
      </c>
      <c r="G56" s="72">
        <f>G30</f>
        <v/>
      </c>
      <c r="H56" s="72">
        <f>H30</f>
        <v/>
      </c>
      <c r="I56" s="72">
        <f>I30</f>
        <v/>
      </c>
    </row>
    <row r="57">
      <c r="B57" s="34" t="inlineStr">
        <is>
          <t>Total Pro Forma Adjustments</t>
        </is>
      </c>
      <c r="C57" s="72">
        <f>C48</f>
        <v/>
      </c>
      <c r="D57" s="72">
        <f>D48</f>
        <v/>
      </c>
      <c r="E57" s="72">
        <f>E48</f>
        <v/>
      </c>
      <c r="F57" s="72">
        <f>F48</f>
        <v/>
      </c>
      <c r="G57" s="72">
        <f>G48</f>
        <v/>
      </c>
      <c r="H57" s="72">
        <f>H48</f>
        <v/>
      </c>
      <c r="I57" s="72">
        <f>I48</f>
        <v/>
      </c>
    </row>
    <row r="58">
      <c r="B58" s="198" t="inlineStr">
        <is>
          <t>Adjusted EBITDA</t>
        </is>
      </c>
      <c r="C58" s="199">
        <f>C55+C56+C57</f>
        <v/>
      </c>
      <c r="D58" s="199">
        <f>D55+D56+D57</f>
        <v/>
      </c>
      <c r="E58" s="199">
        <f>E55+E56+E57</f>
        <v/>
      </c>
      <c r="F58" s="199">
        <f>F55+F56+F57</f>
        <v/>
      </c>
      <c r="G58" s="199">
        <f>G55+G56+G57</f>
        <v/>
      </c>
      <c r="H58" s="199">
        <f>H55+H56+H57</f>
        <v/>
      </c>
      <c r="I58" s="199">
        <f>I55+I56+I57</f>
        <v/>
      </c>
    </row>
    <row r="59">
      <c r="B59" s="41" t="inlineStr">
        <is>
          <t>Adjusted EBITDA Margin %</t>
        </is>
      </c>
      <c r="C59" s="200">
        <f>IF(C5=0,0,C58/C5)</f>
        <v/>
      </c>
      <c r="D59" s="200">
        <f>IF(D5=0,0,D58/D5)</f>
        <v/>
      </c>
      <c r="E59" s="200">
        <f>IF(E5=0,0,E58/E5)</f>
        <v/>
      </c>
      <c r="F59" s="200">
        <f>IF(F5=0,0,F58/F5)</f>
        <v/>
      </c>
      <c r="G59" s="200">
        <f>IF(G5=0,0,G58/G5)</f>
        <v/>
      </c>
      <c r="H59" s="200">
        <f>IF(H5=0,0,H58/H5)</f>
        <v/>
      </c>
      <c r="I59" s="200">
        <f>IF(I5=0,0,I58/I5)</f>
        <v/>
      </c>
    </row>
    <row r="63">
      <c r="A63" s="194" t="inlineStr">
        <is>
          <t>CHECK</t>
        </is>
      </c>
      <c r="B63" s="195" t="n"/>
      <c r="C63" s="195" t="n"/>
      <c r="D63" s="195" t="n"/>
      <c r="E63" s="195" t="n"/>
      <c r="F63" s="195" t="n"/>
      <c r="G63" s="195" t="n"/>
      <c r="H63" s="195" t="n"/>
      <c r="I63" s="195" t="n"/>
      <c r="J63" s="195" t="n"/>
    </row>
    <row r="65">
      <c r="B65" s="34" t="inlineStr">
        <is>
          <t>QoE Reported EBITDA vs IS EBITDA (must be 0)</t>
        </is>
      </c>
      <c r="C65" s="201">
        <f>C8-'Income Statement'!C48</f>
        <v/>
      </c>
      <c r="D65" s="201">
        <f>D8-'Income Statement'!D48</f>
        <v/>
      </c>
      <c r="E65" s="201">
        <f>E8-'Income Statement'!E48</f>
        <v/>
      </c>
      <c r="F65" s="201">
        <f>F8-'Income Statement'!F48</f>
        <v/>
      </c>
      <c r="G65" s="201">
        <f>G8-'Income Statement'!G48</f>
        <v/>
      </c>
      <c r="H65" s="201">
        <f>H8-'Income Statement'!H48</f>
        <v/>
      </c>
      <c r="I65" s="201">
        <f>I8-'Income Statement'!I48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28.xml><?xml version="1.0" encoding="utf-8"?>
<worksheet xmlns="http://schemas.openxmlformats.org/spreadsheetml/2006/main">
  <sheetPr>
    <tabColor rgb="00FF6D00"/>
    <outlinePr summaryBelow="1" summaryRight="1"/>
    <pageSetUpPr/>
  </sheetPr>
  <dimension ref="A1:H2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20" customWidth="1" min="2" max="2"/>
    <col width="65" customWidth="1" min="3" max="3"/>
    <col width="10" customWidth="1" min="4" max="4"/>
    <col width="14" customWidth="1" min="5" max="5"/>
    <col width="18" customWidth="1" min="6" max="6"/>
    <col width="12" customWidth="1" min="7" max="7"/>
    <col width="65" customWidth="1" min="8" max="8"/>
  </cols>
  <sheetData>
    <row r="1" ht="30" customHeight="1">
      <c r="A1" s="236" t="inlineStr">
        <is>
          <t>OPEN ITEMS &amp; ACTION ITEMS</t>
        </is>
      </c>
    </row>
    <row r="2" ht="22" customHeight="1">
      <c r="A2" s="237" t="inlineStr">
        <is>
          <t>Meiborg Companies, Inc. - Financial Model Due Diligence</t>
        </is>
      </c>
    </row>
    <row r="3" ht="10" customHeight="1"/>
    <row r="4" ht="24" customHeight="1">
      <c r="A4" s="238" t="inlineStr">
        <is>
          <t>Item #</t>
        </is>
      </c>
      <c r="B4" s="238" t="inlineStr">
        <is>
          <t>Category</t>
        </is>
      </c>
      <c r="C4" s="238" t="inlineStr">
        <is>
          <t>Description</t>
        </is>
      </c>
      <c r="D4" s="238" t="inlineStr">
        <is>
          <t>Priority</t>
        </is>
      </c>
      <c r="E4" s="238" t="inlineStr">
        <is>
          <t>Status</t>
        </is>
      </c>
      <c r="F4" s="238" t="inlineStr">
        <is>
          <t>Owner</t>
        </is>
      </c>
      <c r="G4" s="238" t="inlineStr">
        <is>
          <t>Due Date</t>
        </is>
      </c>
      <c r="H4" s="238" t="inlineStr">
        <is>
          <t>Notes/Resolution</t>
        </is>
      </c>
    </row>
    <row r="5" ht="45" customHeight="1">
      <c r="A5" s="239" t="n">
        <v>1</v>
      </c>
      <c r="B5" s="240" t="inlineStr">
        <is>
          <t>Data Request</t>
        </is>
      </c>
      <c r="C5" s="241" t="inlineStr">
        <is>
          <t>2025 Audited/Reviewed Financial Statements - KSM review in progress, not yet available</t>
        </is>
      </c>
      <c r="D5" s="242" t="inlineStr">
        <is>
          <t>High</t>
        </is>
      </c>
      <c r="E5" s="243" t="inlineStr">
        <is>
          <t>Open</t>
        </is>
      </c>
      <c r="F5" s="241" t="inlineStr">
        <is>
          <t>KSM / Company</t>
        </is>
      </c>
      <c r="G5" s="239" t="inlineStr">
        <is>
          <t>TBD</t>
        </is>
      </c>
      <c r="H5" s="241" t="inlineStr">
        <is>
          <t>Only internal management accounts (Line14 Financial Package Dec 2025) available. Reviewed FS needed for lender presentation.</t>
        </is>
      </c>
    </row>
    <row r="6" ht="45" customHeight="1">
      <c r="A6" s="239" t="n">
        <v>2</v>
      </c>
      <c r="B6" s="240" t="inlineStr">
        <is>
          <t>Data Request</t>
        </is>
      </c>
      <c r="C6" s="241" t="inlineStr">
        <is>
          <t>Detailed capex schedule / asset register with depreciation methods</t>
        </is>
      </c>
      <c r="D6" s="243" t="inlineStr">
        <is>
          <t>Medium</t>
        </is>
      </c>
      <c r="E6" s="243" t="inlineStr">
        <is>
          <t>Open</t>
        </is>
      </c>
      <c r="F6" s="241" t="inlineStr">
        <is>
          <t>Company</t>
        </is>
      </c>
      <c r="G6" s="239" t="inlineStr">
        <is>
          <t>TBD</t>
        </is>
      </c>
      <c r="H6" s="241" t="inlineStr">
        <is>
          <t>Needed to validate D&amp;A assumptions and project future capex. CF only shows net capex.</t>
        </is>
      </c>
    </row>
    <row r="7" ht="45" customHeight="1">
      <c r="A7" s="239" t="n">
        <v>3</v>
      </c>
      <c r="B7" s="240" t="inlineStr">
        <is>
          <t>Data Request</t>
        </is>
      </c>
      <c r="C7" s="241" t="inlineStr">
        <is>
          <t>Tax returns for 2022, 2023, 2024 (Form 1120S)</t>
        </is>
      </c>
      <c r="D7" s="243" t="inlineStr">
        <is>
          <t>Medium</t>
        </is>
      </c>
      <c r="E7" s="243" t="inlineStr">
        <is>
          <t>Open</t>
        </is>
      </c>
      <c r="F7" s="241" t="inlineStr">
        <is>
          <t>Company / CPA</t>
        </is>
      </c>
      <c r="G7" s="239" t="inlineStr">
        <is>
          <t>TBD</t>
        </is>
      </c>
      <c r="H7" s="241" t="inlineStr">
        <is>
          <t>Required for tax basis verification. Folder skipped per instructions but returns needed for full due diligence.</t>
        </is>
      </c>
    </row>
    <row r="8" ht="45" customHeight="1">
      <c r="A8" s="239" t="n">
        <v>4</v>
      </c>
      <c r="B8" s="240" t="inlineStr">
        <is>
          <t>Data Request</t>
        </is>
      </c>
      <c r="C8" s="241" t="inlineStr">
        <is>
          <t>Individual subsidiary financials (not consolidated) for MBI, SAE, MH1-MH5, ENT, WHS, LOG, 3PL, EDS, OF1</t>
        </is>
      </c>
      <c r="D8" s="244" t="inlineStr">
        <is>
          <t>Low</t>
        </is>
      </c>
      <c r="E8" s="243" t="inlineStr">
        <is>
          <t>Open</t>
        </is>
      </c>
      <c r="F8" s="241" t="inlineStr">
        <is>
          <t>Company</t>
        </is>
      </c>
      <c r="G8" s="239" t="inlineStr">
        <is>
          <t>TBD</t>
        </is>
      </c>
      <c r="H8" s="241" t="inlineStr">
        <is>
          <t>Only consolidated financials available 2021-2025. Subsidiary-level detail would help identify intercompany eliminations.</t>
        </is>
      </c>
    </row>
    <row r="9" ht="45" customHeight="1">
      <c r="A9" s="239" t="n">
        <v>5</v>
      </c>
      <c r="B9" s="240" t="inlineStr">
        <is>
          <t>Data Request</t>
        </is>
      </c>
      <c r="C9" s="241" t="inlineStr">
        <is>
          <t>Lease agreements detail - operating vs finance lease classification support</t>
        </is>
      </c>
      <c r="D9" s="243" t="inlineStr">
        <is>
          <t>Medium</t>
        </is>
      </c>
      <c r="E9" s="243" t="inlineStr">
        <is>
          <t>Open</t>
        </is>
      </c>
      <c r="F9" s="241" t="inlineStr">
        <is>
          <t>Company</t>
        </is>
      </c>
      <c r="G9" s="239" t="inlineStr">
        <is>
          <t>TBD</t>
        </is>
      </c>
      <c r="H9" s="241" t="inlineStr">
        <is>
          <t>ASC 842 adopted in 2022. Need underlying agreements to verify ROU asset/liability calculations and future lease obligations.</t>
        </is>
      </c>
    </row>
    <row r="10" ht="45" customHeight="1">
      <c r="A10" s="239" t="n">
        <v>6</v>
      </c>
      <c r="B10" s="245" t="inlineStr">
        <is>
          <t>Model Issue</t>
        </is>
      </c>
      <c r="C10" s="241" t="inlineStr">
        <is>
          <t>Balance Check variance 2024A (~$2.6M) - source data does not balance</t>
        </is>
      </c>
      <c r="D10" s="242" t="inlineStr">
        <is>
          <t>High</t>
        </is>
      </c>
      <c r="E10" s="243" t="inlineStr">
        <is>
          <t>Open</t>
        </is>
      </c>
      <c r="F10" s="241" t="inlineStr">
        <is>
          <t>Analyst</t>
        </is>
      </c>
      <c r="G10" s="239" t="inlineStr">
        <is>
          <t>TBD</t>
        </is>
      </c>
      <c r="H10" s="241" t="inlineStr">
        <is>
          <t>BS Total Assets minus Total L&amp;E shows $2.6M variance in 2024. Source FS data issue - confirm with KSM reviewed FS PDF.</t>
        </is>
      </c>
    </row>
    <row r="11" ht="45" customHeight="1">
      <c r="A11" s="239" t="n">
        <v>7</v>
      </c>
      <c r="B11" s="245" t="inlineStr">
        <is>
          <t>Model Issue</t>
        </is>
      </c>
      <c r="C11" s="241" t="inlineStr">
        <is>
          <t>Cash vs CF Cash variance (~$1M in historical years)</t>
        </is>
      </c>
      <c r="D11" s="242" t="inlineStr">
        <is>
          <t>High</t>
        </is>
      </c>
      <c r="E11" s="243" t="inlineStr">
        <is>
          <t>Open</t>
        </is>
      </c>
      <c r="F11" s="241" t="inlineStr">
        <is>
          <t>Analyst</t>
        </is>
      </c>
      <c r="G11" s="239" t="inlineStr">
        <is>
          <t>TBD</t>
        </is>
      </c>
      <c r="H11" s="241" t="inlineStr">
        <is>
          <t>CF ending cash does not tie to BS cash in 2022-2024. Likely rounding or statement date timing difference.</t>
        </is>
      </c>
    </row>
    <row r="12" ht="45" customHeight="1">
      <c r="A12" s="239" t="n">
        <v>8</v>
      </c>
      <c r="B12" s="245" t="inlineStr">
        <is>
          <t>Model Issue</t>
        </is>
      </c>
      <c r="C12" s="241" t="inlineStr">
        <is>
          <t>2021 Balance Sheet - limited detail from comparative column</t>
        </is>
      </c>
      <c r="D12" s="243" t="inlineStr">
        <is>
          <t>Medium</t>
        </is>
      </c>
      <c r="E12" s="243" t="inlineStr">
        <is>
          <t>Open</t>
        </is>
      </c>
      <c r="F12" s="241" t="inlineStr">
        <is>
          <t>Analyst</t>
        </is>
      </c>
      <c r="G12" s="239" t="inlineStr">
        <is>
          <t>TBD</t>
        </is>
      </c>
      <c r="H12" s="241" t="inlineStr">
        <is>
          <t>2021 BS comes from 2022 FS comparative column; some line items may be summarized differently than standalone FS.</t>
        </is>
      </c>
    </row>
    <row r="13" ht="45" customHeight="1">
      <c r="A13" s="239" t="n">
        <v>9</v>
      </c>
      <c r="B13" s="245" t="inlineStr">
        <is>
          <t>Model Issue</t>
        </is>
      </c>
      <c r="C13" s="241" t="inlineStr">
        <is>
          <t>2013-2020 data - only summary-level available (no full GAAP FS)</t>
        </is>
      </c>
      <c r="D13" s="244" t="inlineStr">
        <is>
          <t>Low</t>
        </is>
      </c>
      <c r="E13" s="243" t="inlineStr">
        <is>
          <t>Open</t>
        </is>
      </c>
      <c r="F13" s="241" t="inlineStr">
        <is>
          <t>Company</t>
        </is>
      </c>
      <c r="G13" s="239" t="inlineStr">
        <is>
          <t>TBD</t>
        </is>
      </c>
      <c r="H13" s="241" t="inlineStr">
        <is>
          <t>13-Year Summary provides EBITDA-level data only. Full IS/BS detail not available for years prior to 2021.</t>
        </is>
      </c>
    </row>
    <row r="14" ht="45" customHeight="1">
      <c r="A14" s="239" t="n">
        <v>10</v>
      </c>
      <c r="B14" s="246" t="inlineStr">
        <is>
          <t>Follow-Up Question</t>
        </is>
      </c>
      <c r="C14" s="241" t="inlineStr">
        <is>
          <t>March 2025 refinancing - confirm new loan terms, payoff amounts, and lender details</t>
        </is>
      </c>
      <c r="D14" s="242" t="inlineStr">
        <is>
          <t>High</t>
        </is>
      </c>
      <c r="E14" s="243" t="inlineStr">
        <is>
          <t>Open</t>
        </is>
      </c>
      <c r="F14" s="241" t="inlineStr">
        <is>
          <t>Company</t>
        </is>
      </c>
      <c r="G14" s="239" t="inlineStr">
        <is>
          <t>TBD</t>
        </is>
      </c>
      <c r="H14" s="241" t="inlineStr">
        <is>
          <t>Old LOC ($1.65M) and RE loans (~$7M) paid off. New LOC $4.45M @ 12% IO through March 2026. New factoring up to $7.5M. Confirm final terms.</t>
        </is>
      </c>
    </row>
    <row r="15" ht="45" customHeight="1">
      <c r="A15" s="239" t="n">
        <v>11</v>
      </c>
      <c r="B15" s="246" t="inlineStr">
        <is>
          <t>Follow-Up Question</t>
        </is>
      </c>
      <c r="C15" s="241" t="inlineStr">
        <is>
          <t>Commonwealth/Win Win interest-only balloon structure - confirm maturity treatment</t>
        </is>
      </c>
      <c r="D15" s="242" t="inlineStr">
        <is>
          <t>High</t>
        </is>
      </c>
      <c r="E15" s="243" t="inlineStr">
        <is>
          <t>Open</t>
        </is>
      </c>
      <c r="F15" s="241" t="inlineStr">
        <is>
          <t>Company / Lender</t>
        </is>
      </c>
      <c r="G15" s="239" t="inlineStr">
        <is>
          <t>TBD</t>
        </is>
      </c>
      <c r="H15" s="241" t="inlineStr">
        <is>
          <t>Commonwealth: $13M @ 9% IO, mature 2045. Win Win: $4M IO, maturity not stated. Confirm if balloons or amortizing after IO period.</t>
        </is>
      </c>
    </row>
    <row r="16" ht="45" customHeight="1">
      <c r="A16" s="239" t="n">
        <v>12</v>
      </c>
      <c r="B16" s="246" t="inlineStr">
        <is>
          <t>Follow-Up Question</t>
        </is>
      </c>
      <c r="C16" s="241" t="inlineStr">
        <is>
          <t>Forbearance note status - confirm fully paid by June 30, 2025</t>
        </is>
      </c>
      <c r="D16" s="242" t="inlineStr">
        <is>
          <t>High</t>
        </is>
      </c>
      <c r="E16" s="243" t="inlineStr">
        <is>
          <t>Open</t>
        </is>
      </c>
      <c r="F16" s="241" t="inlineStr">
        <is>
          <t>Company</t>
        </is>
      </c>
      <c r="G16" s="239" t="inlineStr">
        <is>
          <t>TBD</t>
        </is>
      </c>
      <c r="H16" s="241" t="inlineStr">
        <is>
          <t>~$1.9M forbearance note (3rd forbearance agreement) reclassified to current at Dec 31, 2024. Per FS notes, was to be paid by June 30, 2025.</t>
        </is>
      </c>
    </row>
    <row r="17" ht="45" customHeight="1">
      <c r="A17" s="239" t="n">
        <v>13</v>
      </c>
      <c r="B17" s="246" t="inlineStr">
        <is>
          <t>Follow-Up Question</t>
        </is>
      </c>
      <c r="C17" s="241" t="inlineStr">
        <is>
          <t>Owner compensation - market rate analysis needed for QoE</t>
        </is>
      </c>
      <c r="D17" s="243" t="inlineStr">
        <is>
          <t>Medium</t>
        </is>
      </c>
      <c r="E17" s="243" t="inlineStr">
        <is>
          <t>Open</t>
        </is>
      </c>
      <c r="F17" s="241" t="inlineStr">
        <is>
          <t>Analyst</t>
        </is>
      </c>
      <c r="G17" s="239" t="inlineStr">
        <is>
          <t>TBD</t>
        </is>
      </c>
      <c r="H17" s="241" t="inlineStr">
        <is>
          <t>S-Corp owner compensation may include excess distributions. Need to analyze vs market rate for QoE EBITDA adjustment.</t>
        </is>
      </c>
    </row>
    <row r="18" ht="45" customHeight="1">
      <c r="A18" s="239" t="n">
        <v>14</v>
      </c>
      <c r="B18" s="246" t="inlineStr">
        <is>
          <t>Follow-Up Question</t>
        </is>
      </c>
      <c r="C18" s="241" t="inlineStr">
        <is>
          <t>Related party transactions - rent, loans, management fees, other</t>
        </is>
      </c>
      <c r="D18" s="243" t="inlineStr">
        <is>
          <t>Medium</t>
        </is>
      </c>
      <c r="E18" s="243" t="inlineStr">
        <is>
          <t>Open</t>
        </is>
      </c>
      <c r="F18" s="241" t="inlineStr">
        <is>
          <t>Company</t>
        </is>
      </c>
      <c r="G18" s="239" t="inlineStr">
        <is>
          <t>TBD</t>
        </is>
      </c>
      <c r="H18" s="241" t="inlineStr">
        <is>
          <t>Holdings entities (MH1-MH5) hold real estate. Confirm intercompany rent at market rates. Any loans from shareholders?</t>
        </is>
      </c>
    </row>
    <row r="19" ht="45" customHeight="1">
      <c r="A19" s="239" t="n">
        <v>15</v>
      </c>
      <c r="B19" s="246" t="inlineStr">
        <is>
          <t>Follow-Up Question</t>
        </is>
      </c>
      <c r="C19" s="241" t="inlineStr">
        <is>
          <t>Insurance recovery 2023 ($2.67M) - confirm one-time/non-recurring nature</t>
        </is>
      </c>
      <c r="D19" s="243" t="inlineStr">
        <is>
          <t>Medium</t>
        </is>
      </c>
      <c r="E19" s="243" t="inlineStr">
        <is>
          <t>Open</t>
        </is>
      </c>
      <c r="F19" s="241" t="inlineStr">
        <is>
          <t>Company</t>
        </is>
      </c>
      <c r="G19" s="239" t="inlineStr">
        <is>
          <t>TBD</t>
        </is>
      </c>
      <c r="H19" s="241" t="inlineStr">
        <is>
          <t>2023 Net Income includes $2.67M insurance gain. Normalizing would reduce NI to approx $(334K). Confirm not recurring.</t>
        </is>
      </c>
    </row>
    <row r="20" ht="45" customHeight="1">
      <c r="A20" s="239" t="n">
        <v>16</v>
      </c>
      <c r="B20" s="247" t="inlineStr">
        <is>
          <t>Clarification</t>
        </is>
      </c>
      <c r="C20" s="241" t="inlineStr">
        <is>
          <t>Corvette loan ($79,604 @ 8.29%) - personal use or business asset?</t>
        </is>
      </c>
      <c r="D20" s="244" t="inlineStr">
        <is>
          <t>Low</t>
        </is>
      </c>
      <c r="E20" s="243" t="inlineStr">
        <is>
          <t>Open</t>
        </is>
      </c>
      <c r="F20" s="241" t="inlineStr">
        <is>
          <t>Company</t>
        </is>
      </c>
      <c r="G20" s="239" t="inlineStr">
        <is>
          <t>TBD</t>
        </is>
      </c>
      <c r="H20" s="241" t="inlineStr">
        <is>
          <t>Bank of America loan for '2024 Corvette (Zach Race car)' in debt schedule. If personal use, should be excluded from enterprise debt.</t>
        </is>
      </c>
    </row>
    <row r="21" ht="45" customHeight="1">
      <c r="A21" s="239" t="n">
        <v>17</v>
      </c>
      <c r="B21" s="247" t="inlineStr">
        <is>
          <t>Clarification</t>
        </is>
      </c>
      <c r="C21" s="241" t="inlineStr">
        <is>
          <t>International service contract ($327K @ 0% interest) - confirm classification</t>
        </is>
      </c>
      <c r="D21" s="244" t="inlineStr">
        <is>
          <t>Low</t>
        </is>
      </c>
      <c r="E21" s="243" t="inlineStr">
        <is>
          <t>Open</t>
        </is>
      </c>
      <c r="F21" s="241" t="inlineStr">
        <is>
          <t>Company</t>
        </is>
      </c>
      <c r="G21" s="239" t="inlineStr">
        <is>
          <t>TBD</t>
        </is>
      </c>
      <c r="H21" s="241" t="inlineStr">
        <is>
          <t>17 International Trucks service contract shows as 0% loan with 1930 maturity (data entry error). Is this prepaid service or financing?</t>
        </is>
      </c>
    </row>
    <row r="22" ht="45" customHeight="1">
      <c r="A22" s="239" t="n">
        <v>18</v>
      </c>
      <c r="B22" s="247" t="inlineStr">
        <is>
          <t>Clarification</t>
        </is>
      </c>
      <c r="C22" s="241" t="inlineStr">
        <is>
          <t>ASC 842 lease adoption - confirm no prior period restatement needed</t>
        </is>
      </c>
      <c r="D22" s="244" t="inlineStr">
        <is>
          <t>Low</t>
        </is>
      </c>
      <c r="E22" s="243" t="inlineStr">
        <is>
          <t>Open</t>
        </is>
      </c>
      <c r="F22" s="241" t="inlineStr">
        <is>
          <t>Company / CPA</t>
        </is>
      </c>
      <c r="G22" s="239" t="inlineStr">
        <is>
          <t>TBD</t>
        </is>
      </c>
      <c r="H22" s="241" t="inlineStr">
        <is>
          <t>Finance and operating ROU assets/liabilities first appear in 2022 reviewed FS. Prior years not restated. Comparability issue?</t>
        </is>
      </c>
    </row>
    <row r="23" ht="45" customHeight="1">
      <c r="A23" s="239" t="n">
        <v>19</v>
      </c>
      <c r="B23" s="246" t="inlineStr">
        <is>
          <t>Follow-Up Question</t>
        </is>
      </c>
      <c r="C23" s="241" t="inlineStr">
        <is>
          <t>New LOC facility terms - confirm $4.45M limit and March 2026 maturity</t>
        </is>
      </c>
      <c r="D23" s="242" t="inlineStr">
        <is>
          <t>High</t>
        </is>
      </c>
      <c r="E23" s="243" t="inlineStr">
        <is>
          <t>Open</t>
        </is>
      </c>
      <c r="F23" s="241" t="inlineStr">
        <is>
          <t>Company / Lender</t>
        </is>
      </c>
      <c r="G23" s="239" t="inlineStr">
        <is>
          <t>TBD</t>
        </is>
      </c>
      <c r="H23" s="241" t="inlineStr">
        <is>
          <t>March 2025 refinancing included new $4.45M LOC @ 12% interest-only. Confirm drawn amount and maturity terms.</t>
        </is>
      </c>
    </row>
    <row r="24" ht="45" customHeight="1">
      <c r="A24" s="239" t="n">
        <v>20</v>
      </c>
      <c r="B24" s="246" t="inlineStr">
        <is>
          <t>Follow-Up Question</t>
        </is>
      </c>
      <c r="C24" s="241" t="inlineStr">
        <is>
          <t>Factoring facility - confirm $7.5M availability and current utilization</t>
        </is>
      </c>
      <c r="D24" s="242" t="inlineStr">
        <is>
          <t>High</t>
        </is>
      </c>
      <c r="E24" s="243" t="inlineStr">
        <is>
          <t>Open</t>
        </is>
      </c>
      <c r="F24" s="241" t="inlineStr">
        <is>
          <t>Company / Factor</t>
        </is>
      </c>
      <c r="G24" s="239" t="inlineStr">
        <is>
          <t>TBD</t>
        </is>
      </c>
      <c r="H24" s="241" t="inlineStr">
        <is>
          <t>New factoring facility up to $7.5M mentioned in March 2025 refinancing. Confirm current draws and advance rates.</t>
        </is>
      </c>
    </row>
    <row r="25" ht="45" customHeight="1">
      <c r="A25" s="239" t="n">
        <v>21</v>
      </c>
      <c r="B25" s="246" t="inlineStr">
        <is>
          <t>Follow-Up Question</t>
        </is>
      </c>
      <c r="C25" s="241" t="inlineStr">
        <is>
          <t>Interest rate swap termination March 2025 - confirm settlement amount</t>
        </is>
      </c>
      <c r="D25" s="243" t="inlineStr">
        <is>
          <t>Medium</t>
        </is>
      </c>
      <c r="E25" s="243" t="inlineStr">
        <is>
          <t>Open</t>
        </is>
      </c>
      <c r="F25" s="241" t="inlineStr">
        <is>
          <t>Company</t>
        </is>
      </c>
      <c r="G25" s="239" t="inlineStr">
        <is>
          <t>TBD</t>
        </is>
      </c>
      <c r="H25" s="241" t="inlineStr">
        <is>
          <t>AOCI balance at Dec 31, 2024 was $249K asset. Swap terminated March 2025. Confirm if cash settlement received.</t>
        </is>
      </c>
    </row>
    <row r="26" ht="45" customHeight="1">
      <c r="A26" s="239" t="n">
        <v>22</v>
      </c>
      <c r="B26" s="247" t="inlineStr">
        <is>
          <t>Clarification</t>
        </is>
      </c>
      <c r="C26" s="241" t="inlineStr">
        <is>
          <t>Mercedes-Benz Financial loan ($98K) - interest rate not stated in schedule</t>
        </is>
      </c>
      <c r="D26" s="244" t="inlineStr">
        <is>
          <t>Low</t>
        </is>
      </c>
      <c r="E26" s="243" t="inlineStr">
        <is>
          <t>Open</t>
        </is>
      </c>
      <c r="F26" s="241" t="inlineStr">
        <is>
          <t>Company</t>
        </is>
      </c>
      <c r="G26" s="239" t="inlineStr">
        <is>
          <t>TBD</t>
        </is>
      </c>
      <c r="H26" s="241" t="inlineStr">
        <is>
          <t>Nov 2025 loan for Mercedes vehicle shows 'N/A' for interest rate. Need to confirm actual rate for debt service calculation.</t>
        </is>
      </c>
    </row>
    <row r="27" ht="45" customHeight="1">
      <c r="A27" s="239" t="n">
        <v>23</v>
      </c>
      <c r="B27" s="245" t="inlineStr">
        <is>
          <t>Model Issue</t>
        </is>
      </c>
      <c r="C27" s="241" t="inlineStr">
        <is>
          <t>Debt Schedule vs BS reconciliation - total debt ~$50.4M vs ~$47M per internal BS</t>
        </is>
      </c>
      <c r="D27" s="242" t="inlineStr">
        <is>
          <t>High</t>
        </is>
      </c>
      <c r="E27" s="243" t="inlineStr">
        <is>
          <t>Open</t>
        </is>
      </c>
      <c r="F27" s="241" t="inlineStr">
        <is>
          <t>Analyst</t>
        </is>
      </c>
      <c r="G27" s="239" t="inlineStr">
        <is>
          <t>TBD</t>
        </is>
      </c>
      <c r="H27" s="241" t="inlineStr">
        <is>
          <t>Nov 2025 debt schedule shows $50.4M total. Dec 2025 internal BS shows ~$47M. Timing or classification difference?</t>
        </is>
      </c>
    </row>
    <row r="29">
      <c r="A29" s="248" t="inlineStr">
        <is>
          <t>Total Open Items: 23 | High Priority: 9 | Medium: 8 | Low: 6</t>
        </is>
      </c>
    </row>
  </sheetData>
  <mergeCells count="3">
    <mergeCell ref="A2:H2"/>
    <mergeCell ref="A29:H29"/>
    <mergeCell ref="A1:H1"/>
  </mergeCell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808080"/>
    <outlinePr summaryBelow="1" summaryRight="1"/>
    <pageSetUpPr/>
  </sheetPr>
  <dimension ref="A1:G267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8" customWidth="1" min="3" max="3"/>
    <col width="14" customWidth="1" min="4" max="4"/>
    <col width="14" customWidth="1" min="5" max="5"/>
    <col width="14" customWidth="1" min="6" max="6"/>
    <col width="18" customWidth="1" min="7" max="7"/>
  </cols>
  <sheetData>
    <row r="1">
      <c r="A1" s="1" t="inlineStr">
        <is>
          <t>LENDER SUMMARY</t>
        </is>
      </c>
    </row>
    <row r="2">
      <c r="A2" t="inlineStr">
        <is>
          <t>Lender:</t>
        </is>
      </c>
      <c r="B2" s="2" t="inlineStr">
        <is>
          <t>Wintrust</t>
        </is>
      </c>
    </row>
    <row r="3">
      <c r="A3" t="inlineStr">
        <is>
          <t>Total Balance:</t>
        </is>
      </c>
      <c r="B3" s="3" t="n">
        <v>1584981</v>
      </c>
    </row>
    <row r="4">
      <c r="A4" t="inlineStr">
        <is>
          <t>Monthly Payment:</t>
        </is>
      </c>
      <c r="B4" s="3" t="n">
        <v>9485.77</v>
      </c>
    </row>
    <row r="5">
      <c r="A5" t="inlineStr">
        <is>
          <t>Weighted Avg Rate:</t>
        </is>
      </c>
      <c r="B5" s="4" t="n">
        <v>0.0361</v>
      </c>
    </row>
    <row r="7">
      <c r="A7" s="5" t="inlineStr">
        <is>
          <t>LOAN DETAILS</t>
        </is>
      </c>
    </row>
    <row r="8">
      <c r="A8" t="inlineStr">
        <is>
          <t>Loan Name:</t>
        </is>
      </c>
      <c r="B8" t="inlineStr">
        <is>
          <t>Rockford SBA - Milford Warehouse</t>
        </is>
      </c>
    </row>
    <row r="9">
      <c r="A9" t="inlineStr">
        <is>
          <t>Origination:</t>
        </is>
      </c>
      <c r="B9" s="12" t="n">
        <v>44182</v>
      </c>
    </row>
    <row r="10">
      <c r="A10" t="inlineStr">
        <is>
          <t>Maturity:</t>
        </is>
      </c>
      <c r="B10" s="12" t="n">
        <v>53418</v>
      </c>
    </row>
    <row r="12">
      <c r="A12" s="5" t="inlineStr">
        <is>
          <t>AI ANALYSIS</t>
        </is>
      </c>
    </row>
    <row r="13">
      <c r="A13" s="6" t="inlineStr">
        <is>
          <t>Loan Type: SBA 504 Real Estate Loan (25-year amortization)</t>
        </is>
      </c>
    </row>
    <row r="14">
      <c r="A14" s="6" t="inlineStr">
        <is>
          <t>Collateral: 1122 Milford Road, Rockford warehouse property</t>
        </is>
      </c>
    </row>
    <row r="15">
      <c r="A15" s="6" t="inlineStr">
        <is>
          <t>Rate Type: Fixed rate 3.61% (favorable SBA rate)</t>
        </is>
      </c>
    </row>
    <row r="16">
      <c r="A16" s="6" t="inlineStr">
        <is>
          <t>Amortization: Standard P&amp;I with full amortization to maturity</t>
        </is>
      </c>
    </row>
    <row r="17">
      <c r="A17" s="6" t="inlineStr">
        <is>
          <t>Risk: Low - SBA-backed, long-term fixed rate, real estate secured</t>
        </is>
      </c>
    </row>
    <row r="18">
      <c r="A18" s="6" t="inlineStr">
        <is>
          <t>Note: Long remaining term (20+ years to Apr 2046 maturity)</t>
        </is>
      </c>
    </row>
    <row r="22">
      <c r="A22" s="8" t="inlineStr">
        <is>
          <t>Period</t>
        </is>
      </c>
      <c r="B22" s="8" t="inlineStr">
        <is>
          <t>Date</t>
        </is>
      </c>
      <c r="C22" s="8" t="inlineStr">
        <is>
          <t>Beginning Balance</t>
        </is>
      </c>
      <c r="D22" s="8" t="inlineStr">
        <is>
          <t>Payment</t>
        </is>
      </c>
      <c r="E22" s="8" t="inlineStr">
        <is>
          <t>Interest</t>
        </is>
      </c>
      <c r="F22" s="8" t="inlineStr">
        <is>
          <t>Principal</t>
        </is>
      </c>
      <c r="G22" s="8" t="inlineStr">
        <is>
          <t>Ending Balance</t>
        </is>
      </c>
    </row>
    <row r="23">
      <c r="A23" s="9" t="n">
        <v>1</v>
      </c>
      <c r="B23" s="13" t="n">
        <v>45992</v>
      </c>
      <c r="C23" s="11">
        <f>$B$3</f>
        <v/>
      </c>
      <c r="D23" s="11">
        <f>$B$4</f>
        <v/>
      </c>
      <c r="E23" s="11">
        <f>MAX(0,C23*$B$5/12)</f>
        <v/>
      </c>
      <c r="F23" s="11">
        <f>MAX(0,MIN(C23,D-E23))</f>
        <v/>
      </c>
      <c r="G23" s="11">
        <f>MAX(0,C23-F23)</f>
        <v/>
      </c>
    </row>
    <row r="24">
      <c r="A24" s="9" t="n">
        <v>2</v>
      </c>
      <c r="B24" s="13" t="n">
        <v>46023</v>
      </c>
      <c r="C24" s="11">
        <f>G23</f>
        <v/>
      </c>
      <c r="D24" s="11">
        <f>$B$4</f>
        <v/>
      </c>
      <c r="E24" s="11">
        <f>MAX(0,C24*$B$5/12)</f>
        <v/>
      </c>
      <c r="F24" s="11">
        <f>MAX(0,MIN(C24,D-E24))</f>
        <v/>
      </c>
      <c r="G24" s="11">
        <f>MAX(0,C24-F24)</f>
        <v/>
      </c>
    </row>
    <row r="25">
      <c r="A25" s="9" t="n">
        <v>3</v>
      </c>
      <c r="B25" s="13" t="n">
        <v>46054</v>
      </c>
      <c r="C25" s="11">
        <f>G24</f>
        <v/>
      </c>
      <c r="D25" s="11">
        <f>$B$4</f>
        <v/>
      </c>
      <c r="E25" s="11">
        <f>MAX(0,C25*$B$5/12)</f>
        <v/>
      </c>
      <c r="F25" s="11">
        <f>MAX(0,MIN(C25,D-E25))</f>
        <v/>
      </c>
      <c r="G25" s="11">
        <f>MAX(0,C25-F25)</f>
        <v/>
      </c>
    </row>
    <row r="26">
      <c r="A26" s="9" t="n">
        <v>4</v>
      </c>
      <c r="B26" s="13" t="n">
        <v>46082</v>
      </c>
      <c r="C26" s="11">
        <f>G25</f>
        <v/>
      </c>
      <c r="D26" s="11">
        <f>$B$4</f>
        <v/>
      </c>
      <c r="E26" s="11">
        <f>MAX(0,C26*$B$5/12)</f>
        <v/>
      </c>
      <c r="F26" s="11">
        <f>MAX(0,MIN(C26,D-E26))</f>
        <v/>
      </c>
      <c r="G26" s="11">
        <f>MAX(0,C26-F26)</f>
        <v/>
      </c>
    </row>
    <row r="27">
      <c r="A27" s="9" t="n">
        <v>5</v>
      </c>
      <c r="B27" s="13" t="n">
        <v>46113</v>
      </c>
      <c r="C27" s="11">
        <f>G26</f>
        <v/>
      </c>
      <c r="D27" s="11">
        <f>$B$4</f>
        <v/>
      </c>
      <c r="E27" s="11">
        <f>MAX(0,C27*$B$5/12)</f>
        <v/>
      </c>
      <c r="F27" s="11">
        <f>MAX(0,MIN(C27,D-E27))</f>
        <v/>
      </c>
      <c r="G27" s="11">
        <f>MAX(0,C27-F27)</f>
        <v/>
      </c>
    </row>
    <row r="28">
      <c r="A28" s="9" t="n">
        <v>6</v>
      </c>
      <c r="B28" s="13" t="n">
        <v>46143</v>
      </c>
      <c r="C28" s="11">
        <f>G27</f>
        <v/>
      </c>
      <c r="D28" s="11">
        <f>$B$4</f>
        <v/>
      </c>
      <c r="E28" s="11">
        <f>MAX(0,C28*$B$5/12)</f>
        <v/>
      </c>
      <c r="F28" s="11">
        <f>MAX(0,MIN(C28,D-E28))</f>
        <v/>
      </c>
      <c r="G28" s="11">
        <f>MAX(0,C28-F28)</f>
        <v/>
      </c>
    </row>
    <row r="29">
      <c r="A29" s="9" t="n">
        <v>7</v>
      </c>
      <c r="B29" s="13" t="n">
        <v>46174</v>
      </c>
      <c r="C29" s="11">
        <f>G28</f>
        <v/>
      </c>
      <c r="D29" s="11">
        <f>$B$4</f>
        <v/>
      </c>
      <c r="E29" s="11">
        <f>MAX(0,C29*$B$5/12)</f>
        <v/>
      </c>
      <c r="F29" s="11">
        <f>MAX(0,MIN(C29,D-E29))</f>
        <v/>
      </c>
      <c r="G29" s="11">
        <f>MAX(0,C29-F29)</f>
        <v/>
      </c>
    </row>
    <row r="30">
      <c r="A30" s="9" t="n">
        <v>8</v>
      </c>
      <c r="B30" s="13" t="n">
        <v>46204</v>
      </c>
      <c r="C30" s="11">
        <f>G29</f>
        <v/>
      </c>
      <c r="D30" s="11">
        <f>$B$4</f>
        <v/>
      </c>
      <c r="E30" s="11">
        <f>MAX(0,C30*$B$5/12)</f>
        <v/>
      </c>
      <c r="F30" s="11">
        <f>MAX(0,MIN(C30,D-E30))</f>
        <v/>
      </c>
      <c r="G30" s="11">
        <f>MAX(0,C30-F30)</f>
        <v/>
      </c>
    </row>
    <row r="31">
      <c r="A31" s="9" t="n">
        <v>9</v>
      </c>
      <c r="B31" s="13" t="n">
        <v>46235</v>
      </c>
      <c r="C31" s="11">
        <f>G30</f>
        <v/>
      </c>
      <c r="D31" s="11">
        <f>$B$4</f>
        <v/>
      </c>
      <c r="E31" s="11">
        <f>MAX(0,C31*$B$5/12)</f>
        <v/>
      </c>
      <c r="F31" s="11">
        <f>MAX(0,MIN(C31,D-E31))</f>
        <v/>
      </c>
      <c r="G31" s="11">
        <f>MAX(0,C31-F31)</f>
        <v/>
      </c>
    </row>
    <row r="32">
      <c r="A32" s="9" t="n">
        <v>10</v>
      </c>
      <c r="B32" s="13" t="n">
        <v>46266</v>
      </c>
      <c r="C32" s="11">
        <f>G31</f>
        <v/>
      </c>
      <c r="D32" s="11">
        <f>$B$4</f>
        <v/>
      </c>
      <c r="E32" s="11">
        <f>MAX(0,C32*$B$5/12)</f>
        <v/>
      </c>
      <c r="F32" s="11">
        <f>MAX(0,MIN(C32,D-E32))</f>
        <v/>
      </c>
      <c r="G32" s="11">
        <f>MAX(0,C32-F32)</f>
        <v/>
      </c>
    </row>
    <row r="33">
      <c r="A33" s="9" t="n">
        <v>11</v>
      </c>
      <c r="B33" s="13" t="n">
        <v>46296</v>
      </c>
      <c r="C33" s="11">
        <f>G32</f>
        <v/>
      </c>
      <c r="D33" s="11">
        <f>$B$4</f>
        <v/>
      </c>
      <c r="E33" s="11">
        <f>MAX(0,C33*$B$5/12)</f>
        <v/>
      </c>
      <c r="F33" s="11">
        <f>MAX(0,MIN(C33,D-E33))</f>
        <v/>
      </c>
      <c r="G33" s="11">
        <f>MAX(0,C33-F33)</f>
        <v/>
      </c>
    </row>
    <row r="34">
      <c r="A34" s="9" t="n">
        <v>12</v>
      </c>
      <c r="B34" s="13" t="n">
        <v>46327</v>
      </c>
      <c r="C34" s="11">
        <f>G33</f>
        <v/>
      </c>
      <c r="D34" s="11">
        <f>$B$4</f>
        <v/>
      </c>
      <c r="E34" s="11">
        <f>MAX(0,C34*$B$5/12)</f>
        <v/>
      </c>
      <c r="F34" s="11">
        <f>MAX(0,MIN(C34,D-E34))</f>
        <v/>
      </c>
      <c r="G34" s="11">
        <f>MAX(0,C34-F34)</f>
        <v/>
      </c>
    </row>
    <row r="35">
      <c r="A35" s="9" t="n">
        <v>13</v>
      </c>
      <c r="B35" s="13" t="n">
        <v>46357</v>
      </c>
      <c r="C35" s="11">
        <f>G34</f>
        <v/>
      </c>
      <c r="D35" s="11">
        <f>$B$4</f>
        <v/>
      </c>
      <c r="E35" s="11">
        <f>MAX(0,C35*$B$5/12)</f>
        <v/>
      </c>
      <c r="F35" s="11">
        <f>MAX(0,MIN(C35,D-E35))</f>
        <v/>
      </c>
      <c r="G35" s="11">
        <f>MAX(0,C35-F35)</f>
        <v/>
      </c>
    </row>
    <row r="36">
      <c r="A36" s="9" t="n">
        <v>14</v>
      </c>
      <c r="B36" s="13" t="n">
        <v>46388</v>
      </c>
      <c r="C36" s="11">
        <f>G35</f>
        <v/>
      </c>
      <c r="D36" s="11">
        <f>$B$4</f>
        <v/>
      </c>
      <c r="E36" s="11">
        <f>MAX(0,C36*$B$5/12)</f>
        <v/>
      </c>
      <c r="F36" s="11">
        <f>MAX(0,MIN(C36,D-E36))</f>
        <v/>
      </c>
      <c r="G36" s="11">
        <f>MAX(0,C36-F36)</f>
        <v/>
      </c>
    </row>
    <row r="37">
      <c r="A37" s="9" t="n">
        <v>15</v>
      </c>
      <c r="B37" s="13" t="n">
        <v>46419</v>
      </c>
      <c r="C37" s="11">
        <f>G36</f>
        <v/>
      </c>
      <c r="D37" s="11">
        <f>$B$4</f>
        <v/>
      </c>
      <c r="E37" s="11">
        <f>MAX(0,C37*$B$5/12)</f>
        <v/>
      </c>
      <c r="F37" s="11">
        <f>MAX(0,MIN(C37,D-E37))</f>
        <v/>
      </c>
      <c r="G37" s="11">
        <f>MAX(0,C37-F37)</f>
        <v/>
      </c>
    </row>
    <row r="38">
      <c r="A38" s="9" t="n">
        <v>16</v>
      </c>
      <c r="B38" s="13" t="n">
        <v>46447</v>
      </c>
      <c r="C38" s="11">
        <f>G37</f>
        <v/>
      </c>
      <c r="D38" s="11">
        <f>$B$4</f>
        <v/>
      </c>
      <c r="E38" s="11">
        <f>MAX(0,C38*$B$5/12)</f>
        <v/>
      </c>
      <c r="F38" s="11">
        <f>MAX(0,MIN(C38,D-E38))</f>
        <v/>
      </c>
      <c r="G38" s="11">
        <f>MAX(0,C38-F38)</f>
        <v/>
      </c>
    </row>
    <row r="39">
      <c r="A39" s="9" t="n">
        <v>17</v>
      </c>
      <c r="B39" s="13" t="n">
        <v>46478</v>
      </c>
      <c r="C39" s="11">
        <f>G38</f>
        <v/>
      </c>
      <c r="D39" s="11">
        <f>$B$4</f>
        <v/>
      </c>
      <c r="E39" s="11">
        <f>MAX(0,C39*$B$5/12)</f>
        <v/>
      </c>
      <c r="F39" s="11">
        <f>MAX(0,MIN(C39,D-E39))</f>
        <v/>
      </c>
      <c r="G39" s="11">
        <f>MAX(0,C39-F39)</f>
        <v/>
      </c>
    </row>
    <row r="40">
      <c r="A40" s="9" t="n">
        <v>18</v>
      </c>
      <c r="B40" s="13" t="n">
        <v>46508</v>
      </c>
      <c r="C40" s="11">
        <f>G39</f>
        <v/>
      </c>
      <c r="D40" s="11">
        <f>$B$4</f>
        <v/>
      </c>
      <c r="E40" s="11">
        <f>MAX(0,C40*$B$5/12)</f>
        <v/>
      </c>
      <c r="F40" s="11">
        <f>MAX(0,MIN(C40,D-E40))</f>
        <v/>
      </c>
      <c r="G40" s="11">
        <f>MAX(0,C40-F40)</f>
        <v/>
      </c>
    </row>
    <row r="41">
      <c r="A41" s="9" t="n">
        <v>19</v>
      </c>
      <c r="B41" s="13" t="n">
        <v>46539</v>
      </c>
      <c r="C41" s="11">
        <f>G40</f>
        <v/>
      </c>
      <c r="D41" s="11">
        <f>$B$4</f>
        <v/>
      </c>
      <c r="E41" s="11">
        <f>MAX(0,C41*$B$5/12)</f>
        <v/>
      </c>
      <c r="F41" s="11">
        <f>MAX(0,MIN(C41,D-E41))</f>
        <v/>
      </c>
      <c r="G41" s="11">
        <f>MAX(0,C41-F41)</f>
        <v/>
      </c>
    </row>
    <row r="42">
      <c r="A42" s="9" t="n">
        <v>20</v>
      </c>
      <c r="B42" s="13" t="n">
        <v>46569</v>
      </c>
      <c r="C42" s="11">
        <f>G41</f>
        <v/>
      </c>
      <c r="D42" s="11">
        <f>$B$4</f>
        <v/>
      </c>
      <c r="E42" s="11">
        <f>MAX(0,C42*$B$5/12)</f>
        <v/>
      </c>
      <c r="F42" s="11">
        <f>MAX(0,MIN(C42,D-E42))</f>
        <v/>
      </c>
      <c r="G42" s="11">
        <f>MAX(0,C42-F42)</f>
        <v/>
      </c>
    </row>
    <row r="43">
      <c r="A43" s="9" t="n">
        <v>21</v>
      </c>
      <c r="B43" s="13" t="n">
        <v>46600</v>
      </c>
      <c r="C43" s="11">
        <f>G42</f>
        <v/>
      </c>
      <c r="D43" s="11">
        <f>$B$4</f>
        <v/>
      </c>
      <c r="E43" s="11">
        <f>MAX(0,C43*$B$5/12)</f>
        <v/>
      </c>
      <c r="F43" s="11">
        <f>MAX(0,MIN(C43,D-E43))</f>
        <v/>
      </c>
      <c r="G43" s="11">
        <f>MAX(0,C43-F43)</f>
        <v/>
      </c>
    </row>
    <row r="44">
      <c r="A44" s="9" t="n">
        <v>22</v>
      </c>
      <c r="B44" s="13" t="n">
        <v>46631</v>
      </c>
      <c r="C44" s="11">
        <f>G43</f>
        <v/>
      </c>
      <c r="D44" s="11">
        <f>$B$4</f>
        <v/>
      </c>
      <c r="E44" s="11">
        <f>MAX(0,C44*$B$5/12)</f>
        <v/>
      </c>
      <c r="F44" s="11">
        <f>MAX(0,MIN(C44,D-E44))</f>
        <v/>
      </c>
      <c r="G44" s="11">
        <f>MAX(0,C44-F44)</f>
        <v/>
      </c>
    </row>
    <row r="45">
      <c r="A45" s="9" t="n">
        <v>23</v>
      </c>
      <c r="B45" s="13" t="n">
        <v>46661</v>
      </c>
      <c r="C45" s="11">
        <f>G44</f>
        <v/>
      </c>
      <c r="D45" s="11">
        <f>$B$4</f>
        <v/>
      </c>
      <c r="E45" s="11">
        <f>MAX(0,C45*$B$5/12)</f>
        <v/>
      </c>
      <c r="F45" s="11">
        <f>MAX(0,MIN(C45,D-E45))</f>
        <v/>
      </c>
      <c r="G45" s="11">
        <f>MAX(0,C45-F45)</f>
        <v/>
      </c>
    </row>
    <row r="46">
      <c r="A46" s="9" t="n">
        <v>24</v>
      </c>
      <c r="B46" s="13" t="n">
        <v>46692</v>
      </c>
      <c r="C46" s="11">
        <f>G45</f>
        <v/>
      </c>
      <c r="D46" s="11">
        <f>$B$4</f>
        <v/>
      </c>
      <c r="E46" s="11">
        <f>MAX(0,C46*$B$5/12)</f>
        <v/>
      </c>
      <c r="F46" s="11">
        <f>MAX(0,MIN(C46,D-E46))</f>
        <v/>
      </c>
      <c r="G46" s="11">
        <f>MAX(0,C46-F46)</f>
        <v/>
      </c>
    </row>
    <row r="47">
      <c r="A47" s="9" t="n">
        <v>25</v>
      </c>
      <c r="B47" s="13" t="n">
        <v>46722</v>
      </c>
      <c r="C47" s="11">
        <f>G46</f>
        <v/>
      </c>
      <c r="D47" s="11">
        <f>$B$4</f>
        <v/>
      </c>
      <c r="E47" s="11">
        <f>MAX(0,C47*$B$5/12)</f>
        <v/>
      </c>
      <c r="F47" s="11">
        <f>MAX(0,MIN(C47,D-E47))</f>
        <v/>
      </c>
      <c r="G47" s="11">
        <f>MAX(0,C47-F47)</f>
        <v/>
      </c>
    </row>
    <row r="48">
      <c r="A48" s="9" t="n">
        <v>26</v>
      </c>
      <c r="B48" s="13" t="n">
        <v>46753</v>
      </c>
      <c r="C48" s="11">
        <f>G47</f>
        <v/>
      </c>
      <c r="D48" s="11">
        <f>$B$4</f>
        <v/>
      </c>
      <c r="E48" s="11">
        <f>MAX(0,C48*$B$5/12)</f>
        <v/>
      </c>
      <c r="F48" s="11">
        <f>MAX(0,MIN(C48,D-E48))</f>
        <v/>
      </c>
      <c r="G48" s="11">
        <f>MAX(0,C48-F48)</f>
        <v/>
      </c>
    </row>
    <row r="49">
      <c r="A49" s="9" t="n">
        <v>27</v>
      </c>
      <c r="B49" s="13" t="n">
        <v>46784</v>
      </c>
      <c r="C49" s="11">
        <f>G48</f>
        <v/>
      </c>
      <c r="D49" s="11">
        <f>$B$4</f>
        <v/>
      </c>
      <c r="E49" s="11">
        <f>MAX(0,C49*$B$5/12)</f>
        <v/>
      </c>
      <c r="F49" s="11">
        <f>MAX(0,MIN(C49,D-E49))</f>
        <v/>
      </c>
      <c r="G49" s="11">
        <f>MAX(0,C49-F49)</f>
        <v/>
      </c>
    </row>
    <row r="50">
      <c r="A50" s="9" t="n">
        <v>28</v>
      </c>
      <c r="B50" s="13" t="n">
        <v>46813</v>
      </c>
      <c r="C50" s="11">
        <f>G49</f>
        <v/>
      </c>
      <c r="D50" s="11">
        <f>$B$4</f>
        <v/>
      </c>
      <c r="E50" s="11">
        <f>MAX(0,C50*$B$5/12)</f>
        <v/>
      </c>
      <c r="F50" s="11">
        <f>MAX(0,MIN(C50,D-E50))</f>
        <v/>
      </c>
      <c r="G50" s="11">
        <f>MAX(0,C50-F50)</f>
        <v/>
      </c>
    </row>
    <row r="51">
      <c r="A51" s="9" t="n">
        <v>29</v>
      </c>
      <c r="B51" s="13" t="n">
        <v>46844</v>
      </c>
      <c r="C51" s="11">
        <f>G50</f>
        <v/>
      </c>
      <c r="D51" s="11">
        <f>$B$4</f>
        <v/>
      </c>
      <c r="E51" s="11">
        <f>MAX(0,C51*$B$5/12)</f>
        <v/>
      </c>
      <c r="F51" s="11">
        <f>MAX(0,MIN(C51,D-E51))</f>
        <v/>
      </c>
      <c r="G51" s="11">
        <f>MAX(0,C51-F51)</f>
        <v/>
      </c>
    </row>
    <row r="52">
      <c r="A52" s="9" t="n">
        <v>30</v>
      </c>
      <c r="B52" s="13" t="n">
        <v>46874</v>
      </c>
      <c r="C52" s="11">
        <f>G51</f>
        <v/>
      </c>
      <c r="D52" s="11">
        <f>$B$4</f>
        <v/>
      </c>
      <c r="E52" s="11">
        <f>MAX(0,C52*$B$5/12)</f>
        <v/>
      </c>
      <c r="F52" s="11">
        <f>MAX(0,MIN(C52,D-E52))</f>
        <v/>
      </c>
      <c r="G52" s="11">
        <f>MAX(0,C52-F52)</f>
        <v/>
      </c>
    </row>
    <row r="53">
      <c r="A53" s="9" t="n">
        <v>31</v>
      </c>
      <c r="B53" s="13" t="n">
        <v>46905</v>
      </c>
      <c r="C53" s="11">
        <f>G52</f>
        <v/>
      </c>
      <c r="D53" s="11">
        <f>$B$4</f>
        <v/>
      </c>
      <c r="E53" s="11">
        <f>MAX(0,C53*$B$5/12)</f>
        <v/>
      </c>
      <c r="F53" s="11">
        <f>MAX(0,MIN(C53,D-E53))</f>
        <v/>
      </c>
      <c r="G53" s="11">
        <f>MAX(0,C53-F53)</f>
        <v/>
      </c>
    </row>
    <row r="54">
      <c r="A54" s="9" t="n">
        <v>32</v>
      </c>
      <c r="B54" s="13" t="n">
        <v>46935</v>
      </c>
      <c r="C54" s="11">
        <f>G53</f>
        <v/>
      </c>
      <c r="D54" s="11">
        <f>$B$4</f>
        <v/>
      </c>
      <c r="E54" s="11">
        <f>MAX(0,C54*$B$5/12)</f>
        <v/>
      </c>
      <c r="F54" s="11">
        <f>MAX(0,MIN(C54,D-E54))</f>
        <v/>
      </c>
      <c r="G54" s="11">
        <f>MAX(0,C54-F54)</f>
        <v/>
      </c>
    </row>
    <row r="55">
      <c r="A55" s="9" t="n">
        <v>33</v>
      </c>
      <c r="B55" s="13" t="n">
        <v>46966</v>
      </c>
      <c r="C55" s="11">
        <f>G54</f>
        <v/>
      </c>
      <c r="D55" s="11">
        <f>$B$4</f>
        <v/>
      </c>
      <c r="E55" s="11">
        <f>MAX(0,C55*$B$5/12)</f>
        <v/>
      </c>
      <c r="F55" s="11">
        <f>MAX(0,MIN(C55,D-E55))</f>
        <v/>
      </c>
      <c r="G55" s="11">
        <f>MAX(0,C55-F55)</f>
        <v/>
      </c>
    </row>
    <row r="56">
      <c r="A56" s="9" t="n">
        <v>34</v>
      </c>
      <c r="B56" s="13" t="n">
        <v>46997</v>
      </c>
      <c r="C56" s="11">
        <f>G55</f>
        <v/>
      </c>
      <c r="D56" s="11">
        <f>$B$4</f>
        <v/>
      </c>
      <c r="E56" s="11">
        <f>MAX(0,C56*$B$5/12)</f>
        <v/>
      </c>
      <c r="F56" s="11">
        <f>MAX(0,MIN(C56,D-E56))</f>
        <v/>
      </c>
      <c r="G56" s="11">
        <f>MAX(0,C56-F56)</f>
        <v/>
      </c>
    </row>
    <row r="57">
      <c r="A57" s="9" t="n">
        <v>35</v>
      </c>
      <c r="B57" s="13" t="n">
        <v>47027</v>
      </c>
      <c r="C57" s="11">
        <f>G56</f>
        <v/>
      </c>
      <c r="D57" s="11">
        <f>$B$4</f>
        <v/>
      </c>
      <c r="E57" s="11">
        <f>MAX(0,C57*$B$5/12)</f>
        <v/>
      </c>
      <c r="F57" s="11">
        <f>MAX(0,MIN(C57,D-E57))</f>
        <v/>
      </c>
      <c r="G57" s="11">
        <f>MAX(0,C57-F57)</f>
        <v/>
      </c>
    </row>
    <row r="58">
      <c r="A58" s="9" t="n">
        <v>36</v>
      </c>
      <c r="B58" s="13" t="n">
        <v>47058</v>
      </c>
      <c r="C58" s="11">
        <f>G57</f>
        <v/>
      </c>
      <c r="D58" s="11">
        <f>$B$4</f>
        <v/>
      </c>
      <c r="E58" s="11">
        <f>MAX(0,C58*$B$5/12)</f>
        <v/>
      </c>
      <c r="F58" s="11">
        <f>MAX(0,MIN(C58,D-E58))</f>
        <v/>
      </c>
      <c r="G58" s="11">
        <f>MAX(0,C58-F58)</f>
        <v/>
      </c>
    </row>
    <row r="59">
      <c r="A59" s="9" t="n">
        <v>37</v>
      </c>
      <c r="B59" s="13" t="n">
        <v>47088</v>
      </c>
      <c r="C59" s="11">
        <f>G58</f>
        <v/>
      </c>
      <c r="D59" s="11">
        <f>$B$4</f>
        <v/>
      </c>
      <c r="E59" s="11">
        <f>MAX(0,C59*$B$5/12)</f>
        <v/>
      </c>
      <c r="F59" s="11">
        <f>MAX(0,MIN(C59,D-E59))</f>
        <v/>
      </c>
      <c r="G59" s="11">
        <f>MAX(0,C59-F59)</f>
        <v/>
      </c>
    </row>
    <row r="60">
      <c r="A60" s="9" t="n">
        <v>38</v>
      </c>
      <c r="B60" s="13" t="n">
        <v>47119</v>
      </c>
      <c r="C60" s="11">
        <f>G59</f>
        <v/>
      </c>
      <c r="D60" s="11">
        <f>$B$4</f>
        <v/>
      </c>
      <c r="E60" s="11">
        <f>MAX(0,C60*$B$5/12)</f>
        <v/>
      </c>
      <c r="F60" s="11">
        <f>MAX(0,MIN(C60,D-E60))</f>
        <v/>
      </c>
      <c r="G60" s="11">
        <f>MAX(0,C60-F60)</f>
        <v/>
      </c>
    </row>
    <row r="61">
      <c r="A61" s="9" t="n">
        <v>39</v>
      </c>
      <c r="B61" s="13" t="n">
        <v>47150</v>
      </c>
      <c r="C61" s="11">
        <f>G60</f>
        <v/>
      </c>
      <c r="D61" s="11">
        <f>$B$4</f>
        <v/>
      </c>
      <c r="E61" s="11">
        <f>MAX(0,C61*$B$5/12)</f>
        <v/>
      </c>
      <c r="F61" s="11">
        <f>MAX(0,MIN(C61,D-E61))</f>
        <v/>
      </c>
      <c r="G61" s="11">
        <f>MAX(0,C61-F61)</f>
        <v/>
      </c>
    </row>
    <row r="62">
      <c r="A62" s="9" t="n">
        <v>40</v>
      </c>
      <c r="B62" s="13" t="n">
        <v>47178</v>
      </c>
      <c r="C62" s="11">
        <f>G61</f>
        <v/>
      </c>
      <c r="D62" s="11">
        <f>$B$4</f>
        <v/>
      </c>
      <c r="E62" s="11">
        <f>MAX(0,C62*$B$5/12)</f>
        <v/>
      </c>
      <c r="F62" s="11">
        <f>MAX(0,MIN(C62,D-E62))</f>
        <v/>
      </c>
      <c r="G62" s="11">
        <f>MAX(0,C62-F62)</f>
        <v/>
      </c>
    </row>
    <row r="63">
      <c r="A63" s="9" t="n">
        <v>41</v>
      </c>
      <c r="B63" s="13" t="n">
        <v>47209</v>
      </c>
      <c r="C63" s="11">
        <f>G62</f>
        <v/>
      </c>
      <c r="D63" s="11">
        <f>$B$4</f>
        <v/>
      </c>
      <c r="E63" s="11">
        <f>MAX(0,C63*$B$5/12)</f>
        <v/>
      </c>
      <c r="F63" s="11">
        <f>MAX(0,MIN(C63,D-E63))</f>
        <v/>
      </c>
      <c r="G63" s="11">
        <f>MAX(0,C63-F63)</f>
        <v/>
      </c>
    </row>
    <row r="64">
      <c r="A64" s="9" t="n">
        <v>42</v>
      </c>
      <c r="B64" s="13" t="n">
        <v>47239</v>
      </c>
      <c r="C64" s="11">
        <f>G63</f>
        <v/>
      </c>
      <c r="D64" s="11">
        <f>$B$4</f>
        <v/>
      </c>
      <c r="E64" s="11">
        <f>MAX(0,C64*$B$5/12)</f>
        <v/>
      </c>
      <c r="F64" s="11">
        <f>MAX(0,MIN(C64,D-E64))</f>
        <v/>
      </c>
      <c r="G64" s="11">
        <f>MAX(0,C64-F64)</f>
        <v/>
      </c>
    </row>
    <row r="65">
      <c r="A65" s="9" t="n">
        <v>43</v>
      </c>
      <c r="B65" s="13" t="n">
        <v>47270</v>
      </c>
      <c r="C65" s="11">
        <f>G64</f>
        <v/>
      </c>
      <c r="D65" s="11">
        <f>$B$4</f>
        <v/>
      </c>
      <c r="E65" s="11">
        <f>MAX(0,C65*$B$5/12)</f>
        <v/>
      </c>
      <c r="F65" s="11">
        <f>MAX(0,MIN(C65,D-E65))</f>
        <v/>
      </c>
      <c r="G65" s="11">
        <f>MAX(0,C65-F65)</f>
        <v/>
      </c>
    </row>
    <row r="66">
      <c r="A66" s="9" t="n">
        <v>44</v>
      </c>
      <c r="B66" s="13" t="n">
        <v>47300</v>
      </c>
      <c r="C66" s="11">
        <f>G65</f>
        <v/>
      </c>
      <c r="D66" s="11">
        <f>$B$4</f>
        <v/>
      </c>
      <c r="E66" s="11">
        <f>MAX(0,C66*$B$5/12)</f>
        <v/>
      </c>
      <c r="F66" s="11">
        <f>MAX(0,MIN(C66,D-E66))</f>
        <v/>
      </c>
      <c r="G66" s="11">
        <f>MAX(0,C66-F66)</f>
        <v/>
      </c>
    </row>
    <row r="67">
      <c r="A67" s="9" t="n">
        <v>45</v>
      </c>
      <c r="B67" s="13" t="n">
        <v>47331</v>
      </c>
      <c r="C67" s="11">
        <f>G66</f>
        <v/>
      </c>
      <c r="D67" s="11">
        <f>$B$4</f>
        <v/>
      </c>
      <c r="E67" s="11">
        <f>MAX(0,C67*$B$5/12)</f>
        <v/>
      </c>
      <c r="F67" s="11">
        <f>MAX(0,MIN(C67,D-E67))</f>
        <v/>
      </c>
      <c r="G67" s="11">
        <f>MAX(0,C67-F67)</f>
        <v/>
      </c>
    </row>
    <row r="68">
      <c r="A68" s="9" t="n">
        <v>46</v>
      </c>
      <c r="B68" s="13" t="n">
        <v>47362</v>
      </c>
      <c r="C68" s="11">
        <f>G67</f>
        <v/>
      </c>
      <c r="D68" s="11">
        <f>$B$4</f>
        <v/>
      </c>
      <c r="E68" s="11">
        <f>MAX(0,C68*$B$5/12)</f>
        <v/>
      </c>
      <c r="F68" s="11">
        <f>MAX(0,MIN(C68,D-E68))</f>
        <v/>
      </c>
      <c r="G68" s="11">
        <f>MAX(0,C68-F68)</f>
        <v/>
      </c>
    </row>
    <row r="69">
      <c r="A69" s="9" t="n">
        <v>47</v>
      </c>
      <c r="B69" s="13" t="n">
        <v>47392</v>
      </c>
      <c r="C69" s="11">
        <f>G68</f>
        <v/>
      </c>
      <c r="D69" s="11">
        <f>$B$4</f>
        <v/>
      </c>
      <c r="E69" s="11">
        <f>MAX(0,C69*$B$5/12)</f>
        <v/>
      </c>
      <c r="F69" s="11">
        <f>MAX(0,MIN(C69,D-E69))</f>
        <v/>
      </c>
      <c r="G69" s="11">
        <f>MAX(0,C69-F69)</f>
        <v/>
      </c>
    </row>
    <row r="70">
      <c r="A70" s="9" t="n">
        <v>48</v>
      </c>
      <c r="B70" s="13" t="n">
        <v>47423</v>
      </c>
      <c r="C70" s="11">
        <f>G69</f>
        <v/>
      </c>
      <c r="D70" s="11">
        <f>$B$4</f>
        <v/>
      </c>
      <c r="E70" s="11">
        <f>MAX(0,C70*$B$5/12)</f>
        <v/>
      </c>
      <c r="F70" s="11">
        <f>MAX(0,MIN(C70,D-E70))</f>
        <v/>
      </c>
      <c r="G70" s="11">
        <f>MAX(0,C70-F70)</f>
        <v/>
      </c>
    </row>
    <row r="71">
      <c r="A71" s="9" t="n">
        <v>49</v>
      </c>
      <c r="B71" s="13" t="n">
        <v>47453</v>
      </c>
      <c r="C71" s="11">
        <f>G70</f>
        <v/>
      </c>
      <c r="D71" s="11">
        <f>$B$4</f>
        <v/>
      </c>
      <c r="E71" s="11">
        <f>MAX(0,C71*$B$5/12)</f>
        <v/>
      </c>
      <c r="F71" s="11">
        <f>MAX(0,MIN(C71,D-E71))</f>
        <v/>
      </c>
      <c r="G71" s="11">
        <f>MAX(0,C71-F71)</f>
        <v/>
      </c>
    </row>
    <row r="72">
      <c r="A72" s="9" t="n">
        <v>50</v>
      </c>
      <c r="B72" s="13" t="n">
        <v>47484</v>
      </c>
      <c r="C72" s="11">
        <f>G71</f>
        <v/>
      </c>
      <c r="D72" s="11">
        <f>$B$4</f>
        <v/>
      </c>
      <c r="E72" s="11">
        <f>MAX(0,C72*$B$5/12)</f>
        <v/>
      </c>
      <c r="F72" s="11">
        <f>MAX(0,MIN(C72,D-E72))</f>
        <v/>
      </c>
      <c r="G72" s="11">
        <f>MAX(0,C72-F72)</f>
        <v/>
      </c>
    </row>
    <row r="73">
      <c r="A73" s="9" t="n">
        <v>51</v>
      </c>
      <c r="B73" s="13" t="n">
        <v>47515</v>
      </c>
      <c r="C73" s="11">
        <f>G72</f>
        <v/>
      </c>
      <c r="D73" s="11">
        <f>$B$4</f>
        <v/>
      </c>
      <c r="E73" s="11">
        <f>MAX(0,C73*$B$5/12)</f>
        <v/>
      </c>
      <c r="F73" s="11">
        <f>MAX(0,MIN(C73,D-E73))</f>
        <v/>
      </c>
      <c r="G73" s="11">
        <f>MAX(0,C73-F73)</f>
        <v/>
      </c>
    </row>
    <row r="74">
      <c r="A74" s="9" t="n">
        <v>52</v>
      </c>
      <c r="B74" s="13" t="n">
        <v>47543</v>
      </c>
      <c r="C74" s="11">
        <f>G73</f>
        <v/>
      </c>
      <c r="D74" s="11">
        <f>$B$4</f>
        <v/>
      </c>
      <c r="E74" s="11">
        <f>MAX(0,C74*$B$5/12)</f>
        <v/>
      </c>
      <c r="F74" s="11">
        <f>MAX(0,MIN(C74,D-E74))</f>
        <v/>
      </c>
      <c r="G74" s="11">
        <f>MAX(0,C74-F74)</f>
        <v/>
      </c>
    </row>
    <row r="75">
      <c r="A75" s="9" t="n">
        <v>53</v>
      </c>
      <c r="B75" s="13" t="n">
        <v>47574</v>
      </c>
      <c r="C75" s="11">
        <f>G74</f>
        <v/>
      </c>
      <c r="D75" s="11">
        <f>$B$4</f>
        <v/>
      </c>
      <c r="E75" s="11">
        <f>MAX(0,C75*$B$5/12)</f>
        <v/>
      </c>
      <c r="F75" s="11">
        <f>MAX(0,MIN(C75,D-E75))</f>
        <v/>
      </c>
      <c r="G75" s="11">
        <f>MAX(0,C75-F75)</f>
        <v/>
      </c>
    </row>
    <row r="76">
      <c r="A76" s="9" t="n">
        <v>54</v>
      </c>
      <c r="B76" s="13" t="n">
        <v>47604</v>
      </c>
      <c r="C76" s="11">
        <f>G75</f>
        <v/>
      </c>
      <c r="D76" s="11">
        <f>$B$4</f>
        <v/>
      </c>
      <c r="E76" s="11">
        <f>MAX(0,C76*$B$5/12)</f>
        <v/>
      </c>
      <c r="F76" s="11">
        <f>MAX(0,MIN(C76,D-E76))</f>
        <v/>
      </c>
      <c r="G76" s="11">
        <f>MAX(0,C76-F76)</f>
        <v/>
      </c>
    </row>
    <row r="77">
      <c r="A77" s="9" t="n">
        <v>55</v>
      </c>
      <c r="B77" s="13" t="n">
        <v>47635</v>
      </c>
      <c r="C77" s="11">
        <f>G76</f>
        <v/>
      </c>
      <c r="D77" s="11">
        <f>$B$4</f>
        <v/>
      </c>
      <c r="E77" s="11">
        <f>MAX(0,C77*$B$5/12)</f>
        <v/>
      </c>
      <c r="F77" s="11">
        <f>MAX(0,MIN(C77,D-E77))</f>
        <v/>
      </c>
      <c r="G77" s="11">
        <f>MAX(0,C77-F77)</f>
        <v/>
      </c>
    </row>
    <row r="78">
      <c r="A78" s="9" t="n">
        <v>56</v>
      </c>
      <c r="B78" s="13" t="n">
        <v>47665</v>
      </c>
      <c r="C78" s="11">
        <f>G77</f>
        <v/>
      </c>
      <c r="D78" s="11">
        <f>$B$4</f>
        <v/>
      </c>
      <c r="E78" s="11">
        <f>MAX(0,C78*$B$5/12)</f>
        <v/>
      </c>
      <c r="F78" s="11">
        <f>MAX(0,MIN(C78,D-E78))</f>
        <v/>
      </c>
      <c r="G78" s="11">
        <f>MAX(0,C78-F78)</f>
        <v/>
      </c>
    </row>
    <row r="79">
      <c r="A79" s="9" t="n">
        <v>57</v>
      </c>
      <c r="B79" s="13" t="n">
        <v>47696</v>
      </c>
      <c r="C79" s="11">
        <f>G78</f>
        <v/>
      </c>
      <c r="D79" s="11">
        <f>$B$4</f>
        <v/>
      </c>
      <c r="E79" s="11">
        <f>MAX(0,C79*$B$5/12)</f>
        <v/>
      </c>
      <c r="F79" s="11">
        <f>MAX(0,MIN(C79,D-E79))</f>
        <v/>
      </c>
      <c r="G79" s="11">
        <f>MAX(0,C79-F79)</f>
        <v/>
      </c>
    </row>
    <row r="80">
      <c r="A80" s="9" t="n">
        <v>58</v>
      </c>
      <c r="B80" s="13" t="n">
        <v>47727</v>
      </c>
      <c r="C80" s="11">
        <f>G79</f>
        <v/>
      </c>
      <c r="D80" s="11">
        <f>$B$4</f>
        <v/>
      </c>
      <c r="E80" s="11">
        <f>MAX(0,C80*$B$5/12)</f>
        <v/>
      </c>
      <c r="F80" s="11">
        <f>MAX(0,MIN(C80,D-E80))</f>
        <v/>
      </c>
      <c r="G80" s="11">
        <f>MAX(0,C80-F80)</f>
        <v/>
      </c>
    </row>
    <row r="81">
      <c r="A81" s="9" t="n">
        <v>59</v>
      </c>
      <c r="B81" s="13" t="n">
        <v>47757</v>
      </c>
      <c r="C81" s="11">
        <f>G80</f>
        <v/>
      </c>
      <c r="D81" s="11">
        <f>$B$4</f>
        <v/>
      </c>
      <c r="E81" s="11">
        <f>MAX(0,C81*$B$5/12)</f>
        <v/>
      </c>
      <c r="F81" s="11">
        <f>MAX(0,MIN(C81,D-E81))</f>
        <v/>
      </c>
      <c r="G81" s="11">
        <f>MAX(0,C81-F81)</f>
        <v/>
      </c>
    </row>
    <row r="82">
      <c r="A82" s="9" t="n">
        <v>60</v>
      </c>
      <c r="B82" s="13" t="n">
        <v>47788</v>
      </c>
      <c r="C82" s="11">
        <f>G81</f>
        <v/>
      </c>
      <c r="D82" s="11">
        <f>$B$4</f>
        <v/>
      </c>
      <c r="E82" s="11">
        <f>MAX(0,C82*$B$5/12)</f>
        <v/>
      </c>
      <c r="F82" s="11">
        <f>MAX(0,MIN(C82,D-E82))</f>
        <v/>
      </c>
      <c r="G82" s="11">
        <f>MAX(0,C82-F82)</f>
        <v/>
      </c>
    </row>
    <row r="83">
      <c r="A83" s="9" t="n">
        <v>61</v>
      </c>
      <c r="B83" s="13" t="n">
        <v>47818</v>
      </c>
      <c r="C83" s="11">
        <f>G82</f>
        <v/>
      </c>
      <c r="D83" s="11">
        <f>$B$4</f>
        <v/>
      </c>
      <c r="E83" s="11">
        <f>MAX(0,C83*$B$5/12)</f>
        <v/>
      </c>
      <c r="F83" s="11">
        <f>MAX(0,MIN(C83,D-E83))</f>
        <v/>
      </c>
      <c r="G83" s="11">
        <f>MAX(0,C83-F83)</f>
        <v/>
      </c>
    </row>
    <row r="84">
      <c r="A84" s="9" t="n">
        <v>62</v>
      </c>
      <c r="B84" s="13" t="n">
        <v>47849</v>
      </c>
      <c r="C84" s="11">
        <f>G83</f>
        <v/>
      </c>
      <c r="D84" s="11">
        <f>$B$4</f>
        <v/>
      </c>
      <c r="E84" s="11">
        <f>MAX(0,C84*$B$5/12)</f>
        <v/>
      </c>
      <c r="F84" s="11">
        <f>MAX(0,MIN(C84,D-E84))</f>
        <v/>
      </c>
      <c r="G84" s="11">
        <f>MAX(0,C84-F84)</f>
        <v/>
      </c>
    </row>
    <row r="85">
      <c r="A85" s="9" t="n">
        <v>63</v>
      </c>
      <c r="B85" s="13" t="n">
        <v>47880</v>
      </c>
      <c r="C85" s="11">
        <f>G84</f>
        <v/>
      </c>
      <c r="D85" s="11">
        <f>$B$4</f>
        <v/>
      </c>
      <c r="E85" s="11">
        <f>MAX(0,C85*$B$5/12)</f>
        <v/>
      </c>
      <c r="F85" s="11">
        <f>MAX(0,MIN(C85,D-E85))</f>
        <v/>
      </c>
      <c r="G85" s="11">
        <f>MAX(0,C85-F85)</f>
        <v/>
      </c>
    </row>
    <row r="86">
      <c r="A86" s="9" t="n">
        <v>64</v>
      </c>
      <c r="B86" s="13" t="n">
        <v>47908</v>
      </c>
      <c r="C86" s="11">
        <f>G85</f>
        <v/>
      </c>
      <c r="D86" s="11">
        <f>$B$4</f>
        <v/>
      </c>
      <c r="E86" s="11">
        <f>MAX(0,C86*$B$5/12)</f>
        <v/>
      </c>
      <c r="F86" s="11">
        <f>MAX(0,MIN(C86,D-E86))</f>
        <v/>
      </c>
      <c r="G86" s="11">
        <f>MAX(0,C86-F86)</f>
        <v/>
      </c>
    </row>
    <row r="87">
      <c r="A87" s="9" t="n">
        <v>65</v>
      </c>
      <c r="B87" s="13" t="n">
        <v>47939</v>
      </c>
      <c r="C87" s="11">
        <f>G86</f>
        <v/>
      </c>
      <c r="D87" s="11">
        <f>$B$4</f>
        <v/>
      </c>
      <c r="E87" s="11">
        <f>MAX(0,C87*$B$5/12)</f>
        <v/>
      </c>
      <c r="F87" s="11">
        <f>MAX(0,MIN(C87,D-E87))</f>
        <v/>
      </c>
      <c r="G87" s="11">
        <f>MAX(0,C87-F87)</f>
        <v/>
      </c>
    </row>
    <row r="88">
      <c r="A88" s="9" t="n">
        <v>66</v>
      </c>
      <c r="B88" s="13" t="n">
        <v>47969</v>
      </c>
      <c r="C88" s="11">
        <f>G87</f>
        <v/>
      </c>
      <c r="D88" s="11">
        <f>$B$4</f>
        <v/>
      </c>
      <c r="E88" s="11">
        <f>MAX(0,C88*$B$5/12)</f>
        <v/>
      </c>
      <c r="F88" s="11">
        <f>MAX(0,MIN(C88,D-E88))</f>
        <v/>
      </c>
      <c r="G88" s="11">
        <f>MAX(0,C88-F88)</f>
        <v/>
      </c>
    </row>
    <row r="89">
      <c r="A89" s="9" t="n">
        <v>67</v>
      </c>
      <c r="B89" s="13" t="n">
        <v>48000</v>
      </c>
      <c r="C89" s="11">
        <f>G88</f>
        <v/>
      </c>
      <c r="D89" s="11">
        <f>$B$4</f>
        <v/>
      </c>
      <c r="E89" s="11">
        <f>MAX(0,C89*$B$5/12)</f>
        <v/>
      </c>
      <c r="F89" s="11">
        <f>MAX(0,MIN(C89,D-E89))</f>
        <v/>
      </c>
      <c r="G89" s="11">
        <f>MAX(0,C89-F89)</f>
        <v/>
      </c>
    </row>
    <row r="90">
      <c r="A90" s="9" t="n">
        <v>68</v>
      </c>
      <c r="B90" s="13" t="n">
        <v>48030</v>
      </c>
      <c r="C90" s="11">
        <f>G89</f>
        <v/>
      </c>
      <c r="D90" s="11">
        <f>$B$4</f>
        <v/>
      </c>
      <c r="E90" s="11">
        <f>MAX(0,C90*$B$5/12)</f>
        <v/>
      </c>
      <c r="F90" s="11">
        <f>MAX(0,MIN(C90,D-E90))</f>
        <v/>
      </c>
      <c r="G90" s="11">
        <f>MAX(0,C90-F90)</f>
        <v/>
      </c>
    </row>
    <row r="91">
      <c r="A91" s="9" t="n">
        <v>69</v>
      </c>
      <c r="B91" s="13" t="n">
        <v>48061</v>
      </c>
      <c r="C91" s="11">
        <f>G90</f>
        <v/>
      </c>
      <c r="D91" s="11">
        <f>$B$4</f>
        <v/>
      </c>
      <c r="E91" s="11">
        <f>MAX(0,C91*$B$5/12)</f>
        <v/>
      </c>
      <c r="F91" s="11">
        <f>MAX(0,MIN(C91,D-E91))</f>
        <v/>
      </c>
      <c r="G91" s="11">
        <f>MAX(0,C91-F91)</f>
        <v/>
      </c>
    </row>
    <row r="92">
      <c r="A92" s="9" t="n">
        <v>70</v>
      </c>
      <c r="B92" s="13" t="n">
        <v>48092</v>
      </c>
      <c r="C92" s="11">
        <f>G91</f>
        <v/>
      </c>
      <c r="D92" s="11">
        <f>$B$4</f>
        <v/>
      </c>
      <c r="E92" s="11">
        <f>MAX(0,C92*$B$5/12)</f>
        <v/>
      </c>
      <c r="F92" s="11">
        <f>MAX(0,MIN(C92,D-E92))</f>
        <v/>
      </c>
      <c r="G92" s="11">
        <f>MAX(0,C92-F92)</f>
        <v/>
      </c>
    </row>
    <row r="93">
      <c r="A93" s="9" t="n">
        <v>71</v>
      </c>
      <c r="B93" s="13" t="n">
        <v>48122</v>
      </c>
      <c r="C93" s="11">
        <f>G92</f>
        <v/>
      </c>
      <c r="D93" s="11">
        <f>$B$4</f>
        <v/>
      </c>
      <c r="E93" s="11">
        <f>MAX(0,C93*$B$5/12)</f>
        <v/>
      </c>
      <c r="F93" s="11">
        <f>MAX(0,MIN(C93,D-E93))</f>
        <v/>
      </c>
      <c r="G93" s="11">
        <f>MAX(0,C93-F93)</f>
        <v/>
      </c>
    </row>
    <row r="94">
      <c r="A94" s="9" t="n">
        <v>72</v>
      </c>
      <c r="B94" s="13" t="n">
        <v>48153</v>
      </c>
      <c r="C94" s="11">
        <f>G93</f>
        <v/>
      </c>
      <c r="D94" s="11">
        <f>$B$4</f>
        <v/>
      </c>
      <c r="E94" s="11">
        <f>MAX(0,C94*$B$5/12)</f>
        <v/>
      </c>
      <c r="F94" s="11">
        <f>MAX(0,MIN(C94,D-E94))</f>
        <v/>
      </c>
      <c r="G94" s="11">
        <f>MAX(0,C94-F94)</f>
        <v/>
      </c>
    </row>
    <row r="95">
      <c r="A95" s="9" t="n">
        <v>73</v>
      </c>
      <c r="B95" s="13" t="n">
        <v>48183</v>
      </c>
      <c r="C95" s="11">
        <f>G94</f>
        <v/>
      </c>
      <c r="D95" s="11">
        <f>$B$4</f>
        <v/>
      </c>
      <c r="E95" s="11">
        <f>MAX(0,C95*$B$5/12)</f>
        <v/>
      </c>
      <c r="F95" s="11">
        <f>MAX(0,MIN(C95,D-E95))</f>
        <v/>
      </c>
      <c r="G95" s="11">
        <f>MAX(0,C95-F95)</f>
        <v/>
      </c>
    </row>
    <row r="96">
      <c r="A96" s="9" t="n">
        <v>74</v>
      </c>
      <c r="B96" s="13" t="n">
        <v>48214</v>
      </c>
      <c r="C96" s="11">
        <f>G95</f>
        <v/>
      </c>
      <c r="D96" s="11">
        <f>$B$4</f>
        <v/>
      </c>
      <c r="E96" s="11">
        <f>MAX(0,C96*$B$5/12)</f>
        <v/>
      </c>
      <c r="F96" s="11">
        <f>MAX(0,MIN(C96,D-E96))</f>
        <v/>
      </c>
      <c r="G96" s="11">
        <f>MAX(0,C96-F96)</f>
        <v/>
      </c>
    </row>
    <row r="97">
      <c r="A97" s="9" t="n">
        <v>75</v>
      </c>
      <c r="B97" s="13" t="n">
        <v>48245</v>
      </c>
      <c r="C97" s="11">
        <f>G96</f>
        <v/>
      </c>
      <c r="D97" s="11">
        <f>$B$4</f>
        <v/>
      </c>
      <c r="E97" s="11">
        <f>MAX(0,C97*$B$5/12)</f>
        <v/>
      </c>
      <c r="F97" s="11">
        <f>MAX(0,MIN(C97,D-E97))</f>
        <v/>
      </c>
      <c r="G97" s="11">
        <f>MAX(0,C97-F97)</f>
        <v/>
      </c>
    </row>
    <row r="98">
      <c r="A98" s="9" t="n">
        <v>76</v>
      </c>
      <c r="B98" s="13" t="n">
        <v>48274</v>
      </c>
      <c r="C98" s="11">
        <f>G97</f>
        <v/>
      </c>
      <c r="D98" s="11">
        <f>$B$4</f>
        <v/>
      </c>
      <c r="E98" s="11">
        <f>MAX(0,C98*$B$5/12)</f>
        <v/>
      </c>
      <c r="F98" s="11">
        <f>MAX(0,MIN(C98,D-E98))</f>
        <v/>
      </c>
      <c r="G98" s="11">
        <f>MAX(0,C98-F98)</f>
        <v/>
      </c>
    </row>
    <row r="99">
      <c r="A99" s="9" t="n">
        <v>77</v>
      </c>
      <c r="B99" s="13" t="n">
        <v>48305</v>
      </c>
      <c r="C99" s="11">
        <f>G98</f>
        <v/>
      </c>
      <c r="D99" s="11">
        <f>$B$4</f>
        <v/>
      </c>
      <c r="E99" s="11">
        <f>MAX(0,C99*$B$5/12)</f>
        <v/>
      </c>
      <c r="F99" s="11">
        <f>MAX(0,MIN(C99,D-E99))</f>
        <v/>
      </c>
      <c r="G99" s="11">
        <f>MAX(0,C99-F99)</f>
        <v/>
      </c>
    </row>
    <row r="100">
      <c r="A100" s="9" t="n">
        <v>78</v>
      </c>
      <c r="B100" s="13" t="n">
        <v>48335</v>
      </c>
      <c r="C100" s="11">
        <f>G99</f>
        <v/>
      </c>
      <c r="D100" s="11">
        <f>$B$4</f>
        <v/>
      </c>
      <c r="E100" s="11">
        <f>MAX(0,C100*$B$5/12)</f>
        <v/>
      </c>
      <c r="F100" s="11">
        <f>MAX(0,MIN(C100,D-E100))</f>
        <v/>
      </c>
      <c r="G100" s="11">
        <f>MAX(0,C100-F100)</f>
        <v/>
      </c>
    </row>
    <row r="101">
      <c r="A101" s="9" t="n">
        <v>79</v>
      </c>
      <c r="B101" s="13" t="n">
        <v>48366</v>
      </c>
      <c r="C101" s="11">
        <f>G100</f>
        <v/>
      </c>
      <c r="D101" s="11">
        <f>$B$4</f>
        <v/>
      </c>
      <c r="E101" s="11">
        <f>MAX(0,C101*$B$5/12)</f>
        <v/>
      </c>
      <c r="F101" s="11">
        <f>MAX(0,MIN(C101,D-E101))</f>
        <v/>
      </c>
      <c r="G101" s="11">
        <f>MAX(0,C101-F101)</f>
        <v/>
      </c>
    </row>
    <row r="102">
      <c r="A102" s="9" t="n">
        <v>80</v>
      </c>
      <c r="B102" s="13" t="n">
        <v>48396</v>
      </c>
      <c r="C102" s="11">
        <f>G101</f>
        <v/>
      </c>
      <c r="D102" s="11">
        <f>$B$4</f>
        <v/>
      </c>
      <c r="E102" s="11">
        <f>MAX(0,C102*$B$5/12)</f>
        <v/>
      </c>
      <c r="F102" s="11">
        <f>MAX(0,MIN(C102,D-E102))</f>
        <v/>
      </c>
      <c r="G102" s="11">
        <f>MAX(0,C102-F102)</f>
        <v/>
      </c>
    </row>
    <row r="103">
      <c r="A103" s="9" t="n">
        <v>81</v>
      </c>
      <c r="B103" s="13" t="n">
        <v>48427</v>
      </c>
      <c r="C103" s="11">
        <f>G102</f>
        <v/>
      </c>
      <c r="D103" s="11">
        <f>$B$4</f>
        <v/>
      </c>
      <c r="E103" s="11">
        <f>MAX(0,C103*$B$5/12)</f>
        <v/>
      </c>
      <c r="F103" s="11">
        <f>MAX(0,MIN(C103,D-E103))</f>
        <v/>
      </c>
      <c r="G103" s="11">
        <f>MAX(0,C103-F103)</f>
        <v/>
      </c>
    </row>
    <row r="104">
      <c r="A104" s="9" t="n">
        <v>82</v>
      </c>
      <c r="B104" s="13" t="n">
        <v>48458</v>
      </c>
      <c r="C104" s="11">
        <f>G103</f>
        <v/>
      </c>
      <c r="D104" s="11">
        <f>$B$4</f>
        <v/>
      </c>
      <c r="E104" s="11">
        <f>MAX(0,C104*$B$5/12)</f>
        <v/>
      </c>
      <c r="F104" s="11">
        <f>MAX(0,MIN(C104,D-E104))</f>
        <v/>
      </c>
      <c r="G104" s="11">
        <f>MAX(0,C104-F104)</f>
        <v/>
      </c>
    </row>
    <row r="105">
      <c r="A105" s="9" t="n">
        <v>83</v>
      </c>
      <c r="B105" s="13" t="n">
        <v>48488</v>
      </c>
      <c r="C105" s="11">
        <f>G104</f>
        <v/>
      </c>
      <c r="D105" s="11">
        <f>$B$4</f>
        <v/>
      </c>
      <c r="E105" s="11">
        <f>MAX(0,C105*$B$5/12)</f>
        <v/>
      </c>
      <c r="F105" s="11">
        <f>MAX(0,MIN(C105,D-E105))</f>
        <v/>
      </c>
      <c r="G105" s="11">
        <f>MAX(0,C105-F105)</f>
        <v/>
      </c>
    </row>
    <row r="106">
      <c r="A106" s="9" t="n">
        <v>84</v>
      </c>
      <c r="B106" s="13" t="n">
        <v>48519</v>
      </c>
      <c r="C106" s="11">
        <f>G105</f>
        <v/>
      </c>
      <c r="D106" s="11">
        <f>$B$4</f>
        <v/>
      </c>
      <c r="E106" s="11">
        <f>MAX(0,C106*$B$5/12)</f>
        <v/>
      </c>
      <c r="F106" s="11">
        <f>MAX(0,MIN(C106,D-E106))</f>
        <v/>
      </c>
      <c r="G106" s="11">
        <f>MAX(0,C106-F106)</f>
        <v/>
      </c>
    </row>
    <row r="107">
      <c r="A107" s="9" t="n">
        <v>85</v>
      </c>
      <c r="B107" s="13" t="n">
        <v>48549</v>
      </c>
      <c r="C107" s="11">
        <f>G106</f>
        <v/>
      </c>
      <c r="D107" s="11">
        <f>$B$4</f>
        <v/>
      </c>
      <c r="E107" s="11">
        <f>MAX(0,C107*$B$5/12)</f>
        <v/>
      </c>
      <c r="F107" s="11">
        <f>MAX(0,MIN(C107,D-E107))</f>
        <v/>
      </c>
      <c r="G107" s="11">
        <f>MAX(0,C107-F107)</f>
        <v/>
      </c>
    </row>
    <row r="108">
      <c r="A108" s="9" t="n">
        <v>86</v>
      </c>
      <c r="B108" s="13" t="n">
        <v>48580</v>
      </c>
      <c r="C108" s="11">
        <f>G107</f>
        <v/>
      </c>
      <c r="D108" s="11">
        <f>$B$4</f>
        <v/>
      </c>
      <c r="E108" s="11">
        <f>MAX(0,C108*$B$5/12)</f>
        <v/>
      </c>
      <c r="F108" s="11">
        <f>MAX(0,MIN(C108,D-E108))</f>
        <v/>
      </c>
      <c r="G108" s="11">
        <f>MAX(0,C108-F108)</f>
        <v/>
      </c>
    </row>
    <row r="109">
      <c r="A109" s="9" t="n">
        <v>87</v>
      </c>
      <c r="B109" s="13" t="n">
        <v>48611</v>
      </c>
      <c r="C109" s="11">
        <f>G108</f>
        <v/>
      </c>
      <c r="D109" s="11">
        <f>$B$4</f>
        <v/>
      </c>
      <c r="E109" s="11">
        <f>MAX(0,C109*$B$5/12)</f>
        <v/>
      </c>
      <c r="F109" s="11">
        <f>MAX(0,MIN(C109,D-E109))</f>
        <v/>
      </c>
      <c r="G109" s="11">
        <f>MAX(0,C109-F109)</f>
        <v/>
      </c>
    </row>
    <row r="110">
      <c r="A110" s="9" t="n">
        <v>88</v>
      </c>
      <c r="B110" s="13" t="n">
        <v>48639</v>
      </c>
      <c r="C110" s="11">
        <f>G109</f>
        <v/>
      </c>
      <c r="D110" s="11">
        <f>$B$4</f>
        <v/>
      </c>
      <c r="E110" s="11">
        <f>MAX(0,C110*$B$5/12)</f>
        <v/>
      </c>
      <c r="F110" s="11">
        <f>MAX(0,MIN(C110,D-E110))</f>
        <v/>
      </c>
      <c r="G110" s="11">
        <f>MAX(0,C110-F110)</f>
        <v/>
      </c>
    </row>
    <row r="111">
      <c r="A111" s="9" t="n">
        <v>89</v>
      </c>
      <c r="B111" s="13" t="n">
        <v>48670</v>
      </c>
      <c r="C111" s="11">
        <f>G110</f>
        <v/>
      </c>
      <c r="D111" s="11">
        <f>$B$4</f>
        <v/>
      </c>
      <c r="E111" s="11">
        <f>MAX(0,C111*$B$5/12)</f>
        <v/>
      </c>
      <c r="F111" s="11">
        <f>MAX(0,MIN(C111,D-E111))</f>
        <v/>
      </c>
      <c r="G111" s="11">
        <f>MAX(0,C111-F111)</f>
        <v/>
      </c>
    </row>
    <row r="112">
      <c r="A112" s="9" t="n">
        <v>90</v>
      </c>
      <c r="B112" s="13" t="n">
        <v>48700</v>
      </c>
      <c r="C112" s="11">
        <f>G111</f>
        <v/>
      </c>
      <c r="D112" s="11">
        <f>$B$4</f>
        <v/>
      </c>
      <c r="E112" s="11">
        <f>MAX(0,C112*$B$5/12)</f>
        <v/>
      </c>
      <c r="F112" s="11">
        <f>MAX(0,MIN(C112,D-E112))</f>
        <v/>
      </c>
      <c r="G112" s="11">
        <f>MAX(0,C112-F112)</f>
        <v/>
      </c>
    </row>
    <row r="113">
      <c r="A113" s="9" t="n">
        <v>91</v>
      </c>
      <c r="B113" s="13" t="n">
        <v>48731</v>
      </c>
      <c r="C113" s="11">
        <f>G112</f>
        <v/>
      </c>
      <c r="D113" s="11">
        <f>$B$4</f>
        <v/>
      </c>
      <c r="E113" s="11">
        <f>MAX(0,C113*$B$5/12)</f>
        <v/>
      </c>
      <c r="F113" s="11">
        <f>MAX(0,MIN(C113,D-E113))</f>
        <v/>
      </c>
      <c r="G113" s="11">
        <f>MAX(0,C113-F113)</f>
        <v/>
      </c>
    </row>
    <row r="114">
      <c r="A114" s="9" t="n">
        <v>92</v>
      </c>
      <c r="B114" s="13" t="n">
        <v>48761</v>
      </c>
      <c r="C114" s="11">
        <f>G113</f>
        <v/>
      </c>
      <c r="D114" s="11">
        <f>$B$4</f>
        <v/>
      </c>
      <c r="E114" s="11">
        <f>MAX(0,C114*$B$5/12)</f>
        <v/>
      </c>
      <c r="F114" s="11">
        <f>MAX(0,MIN(C114,D-E114))</f>
        <v/>
      </c>
      <c r="G114" s="11">
        <f>MAX(0,C114-F114)</f>
        <v/>
      </c>
    </row>
    <row r="115">
      <c r="A115" s="9" t="n">
        <v>93</v>
      </c>
      <c r="B115" s="13" t="n">
        <v>48792</v>
      </c>
      <c r="C115" s="11">
        <f>G114</f>
        <v/>
      </c>
      <c r="D115" s="11">
        <f>$B$4</f>
        <v/>
      </c>
      <c r="E115" s="11">
        <f>MAX(0,C115*$B$5/12)</f>
        <v/>
      </c>
      <c r="F115" s="11">
        <f>MAX(0,MIN(C115,D-E115))</f>
        <v/>
      </c>
      <c r="G115" s="11">
        <f>MAX(0,C115-F115)</f>
        <v/>
      </c>
    </row>
    <row r="116">
      <c r="A116" s="9" t="n">
        <v>94</v>
      </c>
      <c r="B116" s="13" t="n">
        <v>48823</v>
      </c>
      <c r="C116" s="11">
        <f>G115</f>
        <v/>
      </c>
      <c r="D116" s="11">
        <f>$B$4</f>
        <v/>
      </c>
      <c r="E116" s="11">
        <f>MAX(0,C116*$B$5/12)</f>
        <v/>
      </c>
      <c r="F116" s="11">
        <f>MAX(0,MIN(C116,D-E116))</f>
        <v/>
      </c>
      <c r="G116" s="11">
        <f>MAX(0,C116-F116)</f>
        <v/>
      </c>
    </row>
    <row r="117">
      <c r="A117" s="9" t="n">
        <v>95</v>
      </c>
      <c r="B117" s="13" t="n">
        <v>48853</v>
      </c>
      <c r="C117" s="11">
        <f>G116</f>
        <v/>
      </c>
      <c r="D117" s="11">
        <f>$B$4</f>
        <v/>
      </c>
      <c r="E117" s="11">
        <f>MAX(0,C117*$B$5/12)</f>
        <v/>
      </c>
      <c r="F117" s="11">
        <f>MAX(0,MIN(C117,D-E117))</f>
        <v/>
      </c>
      <c r="G117" s="11">
        <f>MAX(0,C117-F117)</f>
        <v/>
      </c>
    </row>
    <row r="118">
      <c r="A118" s="9" t="n">
        <v>96</v>
      </c>
      <c r="B118" s="13" t="n">
        <v>48884</v>
      </c>
      <c r="C118" s="11">
        <f>G117</f>
        <v/>
      </c>
      <c r="D118" s="11">
        <f>$B$4</f>
        <v/>
      </c>
      <c r="E118" s="11">
        <f>MAX(0,C118*$B$5/12)</f>
        <v/>
      </c>
      <c r="F118" s="11">
        <f>MAX(0,MIN(C118,D-E118))</f>
        <v/>
      </c>
      <c r="G118" s="11">
        <f>MAX(0,C118-F118)</f>
        <v/>
      </c>
    </row>
    <row r="119">
      <c r="A119" s="9" t="n">
        <v>97</v>
      </c>
      <c r="B119" s="13" t="n">
        <v>48914</v>
      </c>
      <c r="C119" s="11">
        <f>G118</f>
        <v/>
      </c>
      <c r="D119" s="11">
        <f>$B$4</f>
        <v/>
      </c>
      <c r="E119" s="11">
        <f>MAX(0,C119*$B$5/12)</f>
        <v/>
      </c>
      <c r="F119" s="11">
        <f>MAX(0,MIN(C119,D-E119))</f>
        <v/>
      </c>
      <c r="G119" s="11">
        <f>MAX(0,C119-F119)</f>
        <v/>
      </c>
    </row>
    <row r="120">
      <c r="A120" s="9" t="n">
        <v>98</v>
      </c>
      <c r="B120" s="13" t="n">
        <v>48945</v>
      </c>
      <c r="C120" s="11">
        <f>G119</f>
        <v/>
      </c>
      <c r="D120" s="11">
        <f>$B$4</f>
        <v/>
      </c>
      <c r="E120" s="11">
        <f>MAX(0,C120*$B$5/12)</f>
        <v/>
      </c>
      <c r="F120" s="11">
        <f>MAX(0,MIN(C120,D-E120))</f>
        <v/>
      </c>
      <c r="G120" s="11">
        <f>MAX(0,C120-F120)</f>
        <v/>
      </c>
    </row>
    <row r="121">
      <c r="A121" s="9" t="n">
        <v>99</v>
      </c>
      <c r="B121" s="13" t="n">
        <v>48976</v>
      </c>
      <c r="C121" s="11">
        <f>G120</f>
        <v/>
      </c>
      <c r="D121" s="11">
        <f>$B$4</f>
        <v/>
      </c>
      <c r="E121" s="11">
        <f>MAX(0,C121*$B$5/12)</f>
        <v/>
      </c>
      <c r="F121" s="11">
        <f>MAX(0,MIN(C121,D-E121))</f>
        <v/>
      </c>
      <c r="G121" s="11">
        <f>MAX(0,C121-F121)</f>
        <v/>
      </c>
    </row>
    <row r="122">
      <c r="A122" s="9" t="n">
        <v>100</v>
      </c>
      <c r="B122" s="13" t="n">
        <v>49004</v>
      </c>
      <c r="C122" s="11">
        <f>G121</f>
        <v/>
      </c>
      <c r="D122" s="11">
        <f>$B$4</f>
        <v/>
      </c>
      <c r="E122" s="11">
        <f>MAX(0,C122*$B$5/12)</f>
        <v/>
      </c>
      <c r="F122" s="11">
        <f>MAX(0,MIN(C122,D-E122))</f>
        <v/>
      </c>
      <c r="G122" s="11">
        <f>MAX(0,C122-F122)</f>
        <v/>
      </c>
    </row>
    <row r="123">
      <c r="A123" s="9" t="n">
        <v>101</v>
      </c>
      <c r="B123" s="13" t="n">
        <v>49035</v>
      </c>
      <c r="C123" s="11">
        <f>G122</f>
        <v/>
      </c>
      <c r="D123" s="11">
        <f>$B$4</f>
        <v/>
      </c>
      <c r="E123" s="11">
        <f>MAX(0,C123*$B$5/12)</f>
        <v/>
      </c>
      <c r="F123" s="11">
        <f>MAX(0,MIN(C123,D-E123))</f>
        <v/>
      </c>
      <c r="G123" s="11">
        <f>MAX(0,C123-F123)</f>
        <v/>
      </c>
    </row>
    <row r="124">
      <c r="A124" s="9" t="n">
        <v>102</v>
      </c>
      <c r="B124" s="13" t="n">
        <v>49065</v>
      </c>
      <c r="C124" s="11">
        <f>G123</f>
        <v/>
      </c>
      <c r="D124" s="11">
        <f>$B$4</f>
        <v/>
      </c>
      <c r="E124" s="11">
        <f>MAX(0,C124*$B$5/12)</f>
        <v/>
      </c>
      <c r="F124" s="11">
        <f>MAX(0,MIN(C124,D-E124))</f>
        <v/>
      </c>
      <c r="G124" s="11">
        <f>MAX(0,C124-F124)</f>
        <v/>
      </c>
    </row>
    <row r="125">
      <c r="A125" s="9" t="n">
        <v>103</v>
      </c>
      <c r="B125" s="13" t="n">
        <v>49096</v>
      </c>
      <c r="C125" s="11">
        <f>G124</f>
        <v/>
      </c>
      <c r="D125" s="11">
        <f>$B$4</f>
        <v/>
      </c>
      <c r="E125" s="11">
        <f>MAX(0,C125*$B$5/12)</f>
        <v/>
      </c>
      <c r="F125" s="11">
        <f>MAX(0,MIN(C125,D-E125))</f>
        <v/>
      </c>
      <c r="G125" s="11">
        <f>MAX(0,C125-F125)</f>
        <v/>
      </c>
    </row>
    <row r="126">
      <c r="A126" s="9" t="n">
        <v>104</v>
      </c>
      <c r="B126" s="13" t="n">
        <v>49126</v>
      </c>
      <c r="C126" s="11">
        <f>G125</f>
        <v/>
      </c>
      <c r="D126" s="11">
        <f>$B$4</f>
        <v/>
      </c>
      <c r="E126" s="11">
        <f>MAX(0,C126*$B$5/12)</f>
        <v/>
      </c>
      <c r="F126" s="11">
        <f>MAX(0,MIN(C126,D-E126))</f>
        <v/>
      </c>
      <c r="G126" s="11">
        <f>MAX(0,C126-F126)</f>
        <v/>
      </c>
    </row>
    <row r="127">
      <c r="A127" s="9" t="n">
        <v>105</v>
      </c>
      <c r="B127" s="13" t="n">
        <v>49157</v>
      </c>
      <c r="C127" s="11">
        <f>G126</f>
        <v/>
      </c>
      <c r="D127" s="11">
        <f>$B$4</f>
        <v/>
      </c>
      <c r="E127" s="11">
        <f>MAX(0,C127*$B$5/12)</f>
        <v/>
      </c>
      <c r="F127" s="11">
        <f>MAX(0,MIN(C127,D-E127))</f>
        <v/>
      </c>
      <c r="G127" s="11">
        <f>MAX(0,C127-F127)</f>
        <v/>
      </c>
    </row>
    <row r="128">
      <c r="A128" s="9" t="n">
        <v>106</v>
      </c>
      <c r="B128" s="13" t="n">
        <v>49188</v>
      </c>
      <c r="C128" s="11">
        <f>G127</f>
        <v/>
      </c>
      <c r="D128" s="11">
        <f>$B$4</f>
        <v/>
      </c>
      <c r="E128" s="11">
        <f>MAX(0,C128*$B$5/12)</f>
        <v/>
      </c>
      <c r="F128" s="11">
        <f>MAX(0,MIN(C128,D-E128))</f>
        <v/>
      </c>
      <c r="G128" s="11">
        <f>MAX(0,C128-F128)</f>
        <v/>
      </c>
    </row>
    <row r="129">
      <c r="A129" s="9" t="n">
        <v>107</v>
      </c>
      <c r="B129" s="13" t="n">
        <v>49218</v>
      </c>
      <c r="C129" s="11">
        <f>G128</f>
        <v/>
      </c>
      <c r="D129" s="11">
        <f>$B$4</f>
        <v/>
      </c>
      <c r="E129" s="11">
        <f>MAX(0,C129*$B$5/12)</f>
        <v/>
      </c>
      <c r="F129" s="11">
        <f>MAX(0,MIN(C129,D-E129))</f>
        <v/>
      </c>
      <c r="G129" s="11">
        <f>MAX(0,C129-F129)</f>
        <v/>
      </c>
    </row>
    <row r="130">
      <c r="A130" s="9" t="n">
        <v>108</v>
      </c>
      <c r="B130" s="13" t="n">
        <v>49249</v>
      </c>
      <c r="C130" s="11">
        <f>G129</f>
        <v/>
      </c>
      <c r="D130" s="11">
        <f>$B$4</f>
        <v/>
      </c>
      <c r="E130" s="11">
        <f>MAX(0,C130*$B$5/12)</f>
        <v/>
      </c>
      <c r="F130" s="11">
        <f>MAX(0,MIN(C130,D-E130))</f>
        <v/>
      </c>
      <c r="G130" s="11">
        <f>MAX(0,C130-F130)</f>
        <v/>
      </c>
    </row>
    <row r="131">
      <c r="A131" s="9" t="n">
        <v>109</v>
      </c>
      <c r="B131" s="13" t="n">
        <v>49279</v>
      </c>
      <c r="C131" s="11">
        <f>G130</f>
        <v/>
      </c>
      <c r="D131" s="11">
        <f>$B$4</f>
        <v/>
      </c>
      <c r="E131" s="11">
        <f>MAX(0,C131*$B$5/12)</f>
        <v/>
      </c>
      <c r="F131" s="11">
        <f>MAX(0,MIN(C131,D-E131))</f>
        <v/>
      </c>
      <c r="G131" s="11">
        <f>MAX(0,C131-F131)</f>
        <v/>
      </c>
    </row>
    <row r="132">
      <c r="A132" s="9" t="n">
        <v>110</v>
      </c>
      <c r="B132" s="13" t="n">
        <v>49310</v>
      </c>
      <c r="C132" s="11">
        <f>G131</f>
        <v/>
      </c>
      <c r="D132" s="11">
        <f>$B$4</f>
        <v/>
      </c>
      <c r="E132" s="11">
        <f>MAX(0,C132*$B$5/12)</f>
        <v/>
      </c>
      <c r="F132" s="11">
        <f>MAX(0,MIN(C132,D-E132))</f>
        <v/>
      </c>
      <c r="G132" s="11">
        <f>MAX(0,C132-F132)</f>
        <v/>
      </c>
    </row>
    <row r="133">
      <c r="A133" s="9" t="n">
        <v>111</v>
      </c>
      <c r="B133" s="13" t="n">
        <v>49341</v>
      </c>
      <c r="C133" s="11">
        <f>G132</f>
        <v/>
      </c>
      <c r="D133" s="11">
        <f>$B$4</f>
        <v/>
      </c>
      <c r="E133" s="11">
        <f>MAX(0,C133*$B$5/12)</f>
        <v/>
      </c>
      <c r="F133" s="11">
        <f>MAX(0,MIN(C133,D-E133))</f>
        <v/>
      </c>
      <c r="G133" s="11">
        <f>MAX(0,C133-F133)</f>
        <v/>
      </c>
    </row>
    <row r="134">
      <c r="A134" s="9" t="n">
        <v>112</v>
      </c>
      <c r="B134" s="13" t="n">
        <v>49369</v>
      </c>
      <c r="C134" s="11">
        <f>G133</f>
        <v/>
      </c>
      <c r="D134" s="11">
        <f>$B$4</f>
        <v/>
      </c>
      <c r="E134" s="11">
        <f>MAX(0,C134*$B$5/12)</f>
        <v/>
      </c>
      <c r="F134" s="11">
        <f>MAX(0,MIN(C134,D-E134))</f>
        <v/>
      </c>
      <c r="G134" s="11">
        <f>MAX(0,C134-F134)</f>
        <v/>
      </c>
    </row>
    <row r="135">
      <c r="A135" s="9" t="n">
        <v>113</v>
      </c>
      <c r="B135" s="13" t="n">
        <v>49400</v>
      </c>
      <c r="C135" s="11">
        <f>G134</f>
        <v/>
      </c>
      <c r="D135" s="11">
        <f>$B$4</f>
        <v/>
      </c>
      <c r="E135" s="11">
        <f>MAX(0,C135*$B$5/12)</f>
        <v/>
      </c>
      <c r="F135" s="11">
        <f>MAX(0,MIN(C135,D-E135))</f>
        <v/>
      </c>
      <c r="G135" s="11">
        <f>MAX(0,C135-F135)</f>
        <v/>
      </c>
    </row>
    <row r="136">
      <c r="A136" s="9" t="n">
        <v>114</v>
      </c>
      <c r="B136" s="13" t="n">
        <v>49430</v>
      </c>
      <c r="C136" s="11">
        <f>G135</f>
        <v/>
      </c>
      <c r="D136" s="11">
        <f>$B$4</f>
        <v/>
      </c>
      <c r="E136" s="11">
        <f>MAX(0,C136*$B$5/12)</f>
        <v/>
      </c>
      <c r="F136" s="11">
        <f>MAX(0,MIN(C136,D-E136))</f>
        <v/>
      </c>
      <c r="G136" s="11">
        <f>MAX(0,C136-F136)</f>
        <v/>
      </c>
    </row>
    <row r="137">
      <c r="A137" s="9" t="n">
        <v>115</v>
      </c>
      <c r="B137" s="13" t="n">
        <v>49461</v>
      </c>
      <c r="C137" s="11">
        <f>G136</f>
        <v/>
      </c>
      <c r="D137" s="11">
        <f>$B$4</f>
        <v/>
      </c>
      <c r="E137" s="11">
        <f>MAX(0,C137*$B$5/12)</f>
        <v/>
      </c>
      <c r="F137" s="11">
        <f>MAX(0,MIN(C137,D-E137))</f>
        <v/>
      </c>
      <c r="G137" s="11">
        <f>MAX(0,C137-F137)</f>
        <v/>
      </c>
    </row>
    <row r="138">
      <c r="A138" s="9" t="n">
        <v>116</v>
      </c>
      <c r="B138" s="13" t="n">
        <v>49491</v>
      </c>
      <c r="C138" s="11">
        <f>G137</f>
        <v/>
      </c>
      <c r="D138" s="11">
        <f>$B$4</f>
        <v/>
      </c>
      <c r="E138" s="11">
        <f>MAX(0,C138*$B$5/12)</f>
        <v/>
      </c>
      <c r="F138" s="11">
        <f>MAX(0,MIN(C138,D-E138))</f>
        <v/>
      </c>
      <c r="G138" s="11">
        <f>MAX(0,C138-F138)</f>
        <v/>
      </c>
    </row>
    <row r="139">
      <c r="A139" s="9" t="n">
        <v>117</v>
      </c>
      <c r="B139" s="13" t="n">
        <v>49522</v>
      </c>
      <c r="C139" s="11">
        <f>G138</f>
        <v/>
      </c>
      <c r="D139" s="11">
        <f>$B$4</f>
        <v/>
      </c>
      <c r="E139" s="11">
        <f>MAX(0,C139*$B$5/12)</f>
        <v/>
      </c>
      <c r="F139" s="11">
        <f>MAX(0,MIN(C139,D-E139))</f>
        <v/>
      </c>
      <c r="G139" s="11">
        <f>MAX(0,C139-F139)</f>
        <v/>
      </c>
    </row>
    <row r="140">
      <c r="A140" s="9" t="n">
        <v>118</v>
      </c>
      <c r="B140" s="13" t="n">
        <v>49553</v>
      </c>
      <c r="C140" s="11">
        <f>G139</f>
        <v/>
      </c>
      <c r="D140" s="11">
        <f>$B$4</f>
        <v/>
      </c>
      <c r="E140" s="11">
        <f>MAX(0,C140*$B$5/12)</f>
        <v/>
      </c>
      <c r="F140" s="11">
        <f>MAX(0,MIN(C140,D-E140))</f>
        <v/>
      </c>
      <c r="G140" s="11">
        <f>MAX(0,C140-F140)</f>
        <v/>
      </c>
    </row>
    <row r="141">
      <c r="A141" s="9" t="n">
        <v>119</v>
      </c>
      <c r="B141" s="13" t="n">
        <v>49583</v>
      </c>
      <c r="C141" s="11">
        <f>G140</f>
        <v/>
      </c>
      <c r="D141" s="11">
        <f>$B$4</f>
        <v/>
      </c>
      <c r="E141" s="11">
        <f>MAX(0,C141*$B$5/12)</f>
        <v/>
      </c>
      <c r="F141" s="11">
        <f>MAX(0,MIN(C141,D-E141))</f>
        <v/>
      </c>
      <c r="G141" s="11">
        <f>MAX(0,C141-F141)</f>
        <v/>
      </c>
    </row>
    <row r="142">
      <c r="A142" s="9" t="n">
        <v>120</v>
      </c>
      <c r="B142" s="13" t="n">
        <v>49614</v>
      </c>
      <c r="C142" s="11">
        <f>G141</f>
        <v/>
      </c>
      <c r="D142" s="11">
        <f>$B$4</f>
        <v/>
      </c>
      <c r="E142" s="11">
        <f>MAX(0,C142*$B$5/12)</f>
        <v/>
      </c>
      <c r="F142" s="11">
        <f>MAX(0,MIN(C142,D-E142))</f>
        <v/>
      </c>
      <c r="G142" s="11">
        <f>MAX(0,C142-F142)</f>
        <v/>
      </c>
    </row>
    <row r="143">
      <c r="A143" s="9" t="n">
        <v>121</v>
      </c>
      <c r="B143" s="13" t="n">
        <v>49644</v>
      </c>
      <c r="C143" s="11">
        <f>G142</f>
        <v/>
      </c>
      <c r="D143" s="11">
        <f>$B$4</f>
        <v/>
      </c>
      <c r="E143" s="11">
        <f>MAX(0,C143*$B$5/12)</f>
        <v/>
      </c>
      <c r="F143" s="11">
        <f>MAX(0,MIN(C143,D-E143))</f>
        <v/>
      </c>
      <c r="G143" s="11">
        <f>MAX(0,C143-F143)</f>
        <v/>
      </c>
    </row>
    <row r="144">
      <c r="A144" s="9" t="n">
        <v>122</v>
      </c>
      <c r="B144" s="13" t="n">
        <v>49675</v>
      </c>
      <c r="C144" s="11">
        <f>G143</f>
        <v/>
      </c>
      <c r="D144" s="11">
        <f>$B$4</f>
        <v/>
      </c>
      <c r="E144" s="11">
        <f>MAX(0,C144*$B$5/12)</f>
        <v/>
      </c>
      <c r="F144" s="11">
        <f>MAX(0,MIN(C144,D-E144))</f>
        <v/>
      </c>
      <c r="G144" s="11">
        <f>MAX(0,C144-F144)</f>
        <v/>
      </c>
    </row>
    <row r="145">
      <c r="A145" s="9" t="n">
        <v>123</v>
      </c>
      <c r="B145" s="13" t="n">
        <v>49706</v>
      </c>
      <c r="C145" s="11">
        <f>G144</f>
        <v/>
      </c>
      <c r="D145" s="11">
        <f>$B$4</f>
        <v/>
      </c>
      <c r="E145" s="11">
        <f>MAX(0,C145*$B$5/12)</f>
        <v/>
      </c>
      <c r="F145" s="11">
        <f>MAX(0,MIN(C145,D-E145))</f>
        <v/>
      </c>
      <c r="G145" s="11">
        <f>MAX(0,C145-F145)</f>
        <v/>
      </c>
    </row>
    <row r="146">
      <c r="A146" s="9" t="n">
        <v>124</v>
      </c>
      <c r="B146" s="13" t="n">
        <v>49735</v>
      </c>
      <c r="C146" s="11">
        <f>G145</f>
        <v/>
      </c>
      <c r="D146" s="11">
        <f>$B$4</f>
        <v/>
      </c>
      <c r="E146" s="11">
        <f>MAX(0,C146*$B$5/12)</f>
        <v/>
      </c>
      <c r="F146" s="11">
        <f>MAX(0,MIN(C146,D-E146))</f>
        <v/>
      </c>
      <c r="G146" s="11">
        <f>MAX(0,C146-F146)</f>
        <v/>
      </c>
    </row>
    <row r="147">
      <c r="A147" s="9" t="n">
        <v>125</v>
      </c>
      <c r="B147" s="13" t="n">
        <v>49766</v>
      </c>
      <c r="C147" s="11">
        <f>G146</f>
        <v/>
      </c>
      <c r="D147" s="11">
        <f>$B$4</f>
        <v/>
      </c>
      <c r="E147" s="11">
        <f>MAX(0,C147*$B$5/12)</f>
        <v/>
      </c>
      <c r="F147" s="11">
        <f>MAX(0,MIN(C147,D-E147))</f>
        <v/>
      </c>
      <c r="G147" s="11">
        <f>MAX(0,C147-F147)</f>
        <v/>
      </c>
    </row>
    <row r="148">
      <c r="A148" s="9" t="n">
        <v>126</v>
      </c>
      <c r="B148" s="13" t="n">
        <v>49796</v>
      </c>
      <c r="C148" s="11">
        <f>G147</f>
        <v/>
      </c>
      <c r="D148" s="11">
        <f>$B$4</f>
        <v/>
      </c>
      <c r="E148" s="11">
        <f>MAX(0,C148*$B$5/12)</f>
        <v/>
      </c>
      <c r="F148" s="11">
        <f>MAX(0,MIN(C148,D-E148))</f>
        <v/>
      </c>
      <c r="G148" s="11">
        <f>MAX(0,C148-F148)</f>
        <v/>
      </c>
    </row>
    <row r="149">
      <c r="A149" s="9" t="n">
        <v>127</v>
      </c>
      <c r="B149" s="13" t="n">
        <v>49827</v>
      </c>
      <c r="C149" s="11">
        <f>G148</f>
        <v/>
      </c>
      <c r="D149" s="11">
        <f>$B$4</f>
        <v/>
      </c>
      <c r="E149" s="11">
        <f>MAX(0,C149*$B$5/12)</f>
        <v/>
      </c>
      <c r="F149" s="11">
        <f>MAX(0,MIN(C149,D-E149))</f>
        <v/>
      </c>
      <c r="G149" s="11">
        <f>MAX(0,C149-F149)</f>
        <v/>
      </c>
    </row>
    <row r="150">
      <c r="A150" s="9" t="n">
        <v>128</v>
      </c>
      <c r="B150" s="13" t="n">
        <v>49857</v>
      </c>
      <c r="C150" s="11">
        <f>G149</f>
        <v/>
      </c>
      <c r="D150" s="11">
        <f>$B$4</f>
        <v/>
      </c>
      <c r="E150" s="11">
        <f>MAX(0,C150*$B$5/12)</f>
        <v/>
      </c>
      <c r="F150" s="11">
        <f>MAX(0,MIN(C150,D-E150))</f>
        <v/>
      </c>
      <c r="G150" s="11">
        <f>MAX(0,C150-F150)</f>
        <v/>
      </c>
    </row>
    <row r="151">
      <c r="A151" s="9" t="n">
        <v>129</v>
      </c>
      <c r="B151" s="13" t="n">
        <v>49888</v>
      </c>
      <c r="C151" s="11">
        <f>G150</f>
        <v/>
      </c>
      <c r="D151" s="11">
        <f>$B$4</f>
        <v/>
      </c>
      <c r="E151" s="11">
        <f>MAX(0,C151*$B$5/12)</f>
        <v/>
      </c>
      <c r="F151" s="11">
        <f>MAX(0,MIN(C151,D-E151))</f>
        <v/>
      </c>
      <c r="G151" s="11">
        <f>MAX(0,C151-F151)</f>
        <v/>
      </c>
    </row>
    <row r="152">
      <c r="A152" s="9" t="n">
        <v>130</v>
      </c>
      <c r="B152" s="13" t="n">
        <v>49919</v>
      </c>
      <c r="C152" s="11">
        <f>G151</f>
        <v/>
      </c>
      <c r="D152" s="11">
        <f>$B$4</f>
        <v/>
      </c>
      <c r="E152" s="11">
        <f>MAX(0,C152*$B$5/12)</f>
        <v/>
      </c>
      <c r="F152" s="11">
        <f>MAX(0,MIN(C152,D-E152))</f>
        <v/>
      </c>
      <c r="G152" s="11">
        <f>MAX(0,C152-F152)</f>
        <v/>
      </c>
    </row>
    <row r="153">
      <c r="A153" s="9" t="n">
        <v>131</v>
      </c>
      <c r="B153" s="13" t="n">
        <v>49949</v>
      </c>
      <c r="C153" s="11">
        <f>G152</f>
        <v/>
      </c>
      <c r="D153" s="11">
        <f>$B$4</f>
        <v/>
      </c>
      <c r="E153" s="11">
        <f>MAX(0,C153*$B$5/12)</f>
        <v/>
      </c>
      <c r="F153" s="11">
        <f>MAX(0,MIN(C153,D-E153))</f>
        <v/>
      </c>
      <c r="G153" s="11">
        <f>MAX(0,C153-F153)</f>
        <v/>
      </c>
    </row>
    <row r="154">
      <c r="A154" s="9" t="n">
        <v>132</v>
      </c>
      <c r="B154" s="13" t="n">
        <v>49980</v>
      </c>
      <c r="C154" s="11">
        <f>G153</f>
        <v/>
      </c>
      <c r="D154" s="11">
        <f>$B$4</f>
        <v/>
      </c>
      <c r="E154" s="11">
        <f>MAX(0,C154*$B$5/12)</f>
        <v/>
      </c>
      <c r="F154" s="11">
        <f>MAX(0,MIN(C154,D-E154))</f>
        <v/>
      </c>
      <c r="G154" s="11">
        <f>MAX(0,C154-F154)</f>
        <v/>
      </c>
    </row>
    <row r="155">
      <c r="A155" s="9" t="n">
        <v>133</v>
      </c>
      <c r="B155" s="13" t="n">
        <v>50010</v>
      </c>
      <c r="C155" s="11">
        <f>G154</f>
        <v/>
      </c>
      <c r="D155" s="11">
        <f>$B$4</f>
        <v/>
      </c>
      <c r="E155" s="11">
        <f>MAX(0,C155*$B$5/12)</f>
        <v/>
      </c>
      <c r="F155" s="11">
        <f>MAX(0,MIN(C155,D-E155))</f>
        <v/>
      </c>
      <c r="G155" s="11">
        <f>MAX(0,C155-F155)</f>
        <v/>
      </c>
    </row>
    <row r="156">
      <c r="A156" s="9" t="n">
        <v>134</v>
      </c>
      <c r="B156" s="13" t="n">
        <v>50041</v>
      </c>
      <c r="C156" s="11">
        <f>G155</f>
        <v/>
      </c>
      <c r="D156" s="11">
        <f>$B$4</f>
        <v/>
      </c>
      <c r="E156" s="11">
        <f>MAX(0,C156*$B$5/12)</f>
        <v/>
      </c>
      <c r="F156" s="11">
        <f>MAX(0,MIN(C156,D-E156))</f>
        <v/>
      </c>
      <c r="G156" s="11">
        <f>MAX(0,C156-F156)</f>
        <v/>
      </c>
    </row>
    <row r="157">
      <c r="A157" s="9" t="n">
        <v>135</v>
      </c>
      <c r="B157" s="13" t="n">
        <v>50072</v>
      </c>
      <c r="C157" s="11">
        <f>G156</f>
        <v/>
      </c>
      <c r="D157" s="11">
        <f>$B$4</f>
        <v/>
      </c>
      <c r="E157" s="11">
        <f>MAX(0,C157*$B$5/12)</f>
        <v/>
      </c>
      <c r="F157" s="11">
        <f>MAX(0,MIN(C157,D-E157))</f>
        <v/>
      </c>
      <c r="G157" s="11">
        <f>MAX(0,C157-F157)</f>
        <v/>
      </c>
    </row>
    <row r="158">
      <c r="A158" s="9" t="n">
        <v>136</v>
      </c>
      <c r="B158" s="13" t="n">
        <v>50100</v>
      </c>
      <c r="C158" s="11">
        <f>G157</f>
        <v/>
      </c>
      <c r="D158" s="11">
        <f>$B$4</f>
        <v/>
      </c>
      <c r="E158" s="11">
        <f>MAX(0,C158*$B$5/12)</f>
        <v/>
      </c>
      <c r="F158" s="11">
        <f>MAX(0,MIN(C158,D-E158))</f>
        <v/>
      </c>
      <c r="G158" s="11">
        <f>MAX(0,C158-F158)</f>
        <v/>
      </c>
    </row>
    <row r="159">
      <c r="A159" s="9" t="n">
        <v>137</v>
      </c>
      <c r="B159" s="13" t="n">
        <v>50131</v>
      </c>
      <c r="C159" s="11">
        <f>G158</f>
        <v/>
      </c>
      <c r="D159" s="11">
        <f>$B$4</f>
        <v/>
      </c>
      <c r="E159" s="11">
        <f>MAX(0,C159*$B$5/12)</f>
        <v/>
      </c>
      <c r="F159" s="11">
        <f>MAX(0,MIN(C159,D-E159))</f>
        <v/>
      </c>
      <c r="G159" s="11">
        <f>MAX(0,C159-F159)</f>
        <v/>
      </c>
    </row>
    <row r="160">
      <c r="A160" s="9" t="n">
        <v>138</v>
      </c>
      <c r="B160" s="13" t="n">
        <v>50161</v>
      </c>
      <c r="C160" s="11">
        <f>G159</f>
        <v/>
      </c>
      <c r="D160" s="11">
        <f>$B$4</f>
        <v/>
      </c>
      <c r="E160" s="11">
        <f>MAX(0,C160*$B$5/12)</f>
        <v/>
      </c>
      <c r="F160" s="11">
        <f>MAX(0,MIN(C160,D-E160))</f>
        <v/>
      </c>
      <c r="G160" s="11">
        <f>MAX(0,C160-F160)</f>
        <v/>
      </c>
    </row>
    <row r="161">
      <c r="A161" s="9" t="n">
        <v>139</v>
      </c>
      <c r="B161" s="13" t="n">
        <v>50192</v>
      </c>
      <c r="C161" s="11">
        <f>G160</f>
        <v/>
      </c>
      <c r="D161" s="11">
        <f>$B$4</f>
        <v/>
      </c>
      <c r="E161" s="11">
        <f>MAX(0,C161*$B$5/12)</f>
        <v/>
      </c>
      <c r="F161" s="11">
        <f>MAX(0,MIN(C161,D-E161))</f>
        <v/>
      </c>
      <c r="G161" s="11">
        <f>MAX(0,C161-F161)</f>
        <v/>
      </c>
    </row>
    <row r="162">
      <c r="A162" s="9" t="n">
        <v>140</v>
      </c>
      <c r="B162" s="13" t="n">
        <v>50222</v>
      </c>
      <c r="C162" s="11">
        <f>G161</f>
        <v/>
      </c>
      <c r="D162" s="11">
        <f>$B$4</f>
        <v/>
      </c>
      <c r="E162" s="11">
        <f>MAX(0,C162*$B$5/12)</f>
        <v/>
      </c>
      <c r="F162" s="11">
        <f>MAX(0,MIN(C162,D-E162))</f>
        <v/>
      </c>
      <c r="G162" s="11">
        <f>MAX(0,C162-F162)</f>
        <v/>
      </c>
    </row>
    <row r="163">
      <c r="A163" s="9" t="n">
        <v>141</v>
      </c>
      <c r="B163" s="13" t="n">
        <v>50253</v>
      </c>
      <c r="C163" s="11">
        <f>G162</f>
        <v/>
      </c>
      <c r="D163" s="11">
        <f>$B$4</f>
        <v/>
      </c>
      <c r="E163" s="11">
        <f>MAX(0,C163*$B$5/12)</f>
        <v/>
      </c>
      <c r="F163" s="11">
        <f>MAX(0,MIN(C163,D-E163))</f>
        <v/>
      </c>
      <c r="G163" s="11">
        <f>MAX(0,C163-F163)</f>
        <v/>
      </c>
    </row>
    <row r="164">
      <c r="A164" s="9" t="n">
        <v>142</v>
      </c>
      <c r="B164" s="13" t="n">
        <v>50284</v>
      </c>
      <c r="C164" s="11">
        <f>G163</f>
        <v/>
      </c>
      <c r="D164" s="11">
        <f>$B$4</f>
        <v/>
      </c>
      <c r="E164" s="11">
        <f>MAX(0,C164*$B$5/12)</f>
        <v/>
      </c>
      <c r="F164" s="11">
        <f>MAX(0,MIN(C164,D-E164))</f>
        <v/>
      </c>
      <c r="G164" s="11">
        <f>MAX(0,C164-F164)</f>
        <v/>
      </c>
    </row>
    <row r="165">
      <c r="A165" s="9" t="n">
        <v>143</v>
      </c>
      <c r="B165" s="13" t="n">
        <v>50314</v>
      </c>
      <c r="C165" s="11">
        <f>G164</f>
        <v/>
      </c>
      <c r="D165" s="11">
        <f>$B$4</f>
        <v/>
      </c>
      <c r="E165" s="11">
        <f>MAX(0,C165*$B$5/12)</f>
        <v/>
      </c>
      <c r="F165" s="11">
        <f>MAX(0,MIN(C165,D-E165))</f>
        <v/>
      </c>
      <c r="G165" s="11">
        <f>MAX(0,C165-F165)</f>
        <v/>
      </c>
    </row>
    <row r="166">
      <c r="A166" s="9" t="n">
        <v>144</v>
      </c>
      <c r="B166" s="13" t="n">
        <v>50345</v>
      </c>
      <c r="C166" s="11">
        <f>G165</f>
        <v/>
      </c>
      <c r="D166" s="11">
        <f>$B$4</f>
        <v/>
      </c>
      <c r="E166" s="11">
        <f>MAX(0,C166*$B$5/12)</f>
        <v/>
      </c>
      <c r="F166" s="11">
        <f>MAX(0,MIN(C166,D-E166))</f>
        <v/>
      </c>
      <c r="G166" s="11">
        <f>MAX(0,C166-F166)</f>
        <v/>
      </c>
    </row>
    <row r="167">
      <c r="A167" s="9" t="n">
        <v>145</v>
      </c>
      <c r="B167" s="13" t="n">
        <v>50375</v>
      </c>
      <c r="C167" s="11">
        <f>G166</f>
        <v/>
      </c>
      <c r="D167" s="11">
        <f>$B$4</f>
        <v/>
      </c>
      <c r="E167" s="11">
        <f>MAX(0,C167*$B$5/12)</f>
        <v/>
      </c>
      <c r="F167" s="11">
        <f>MAX(0,MIN(C167,D-E167))</f>
        <v/>
      </c>
      <c r="G167" s="11">
        <f>MAX(0,C167-F167)</f>
        <v/>
      </c>
    </row>
    <row r="168">
      <c r="A168" s="9" t="n">
        <v>146</v>
      </c>
      <c r="B168" s="13" t="n">
        <v>50406</v>
      </c>
      <c r="C168" s="11">
        <f>G167</f>
        <v/>
      </c>
      <c r="D168" s="11">
        <f>$B$4</f>
        <v/>
      </c>
      <c r="E168" s="11">
        <f>MAX(0,C168*$B$5/12)</f>
        <v/>
      </c>
      <c r="F168" s="11">
        <f>MAX(0,MIN(C168,D-E168))</f>
        <v/>
      </c>
      <c r="G168" s="11">
        <f>MAX(0,C168-F168)</f>
        <v/>
      </c>
    </row>
    <row r="169">
      <c r="A169" s="9" t="n">
        <v>147</v>
      </c>
      <c r="B169" s="13" t="n">
        <v>50437</v>
      </c>
      <c r="C169" s="11">
        <f>G168</f>
        <v/>
      </c>
      <c r="D169" s="11">
        <f>$B$4</f>
        <v/>
      </c>
      <c r="E169" s="11">
        <f>MAX(0,C169*$B$5/12)</f>
        <v/>
      </c>
      <c r="F169" s="11">
        <f>MAX(0,MIN(C169,D-E169))</f>
        <v/>
      </c>
      <c r="G169" s="11">
        <f>MAX(0,C169-F169)</f>
        <v/>
      </c>
    </row>
    <row r="170">
      <c r="A170" s="9" t="n">
        <v>148</v>
      </c>
      <c r="B170" s="13" t="n">
        <v>50465</v>
      </c>
      <c r="C170" s="11">
        <f>G169</f>
        <v/>
      </c>
      <c r="D170" s="11">
        <f>$B$4</f>
        <v/>
      </c>
      <c r="E170" s="11">
        <f>MAX(0,C170*$B$5/12)</f>
        <v/>
      </c>
      <c r="F170" s="11">
        <f>MAX(0,MIN(C170,D-E170))</f>
        <v/>
      </c>
      <c r="G170" s="11">
        <f>MAX(0,C170-F170)</f>
        <v/>
      </c>
    </row>
    <row r="171">
      <c r="A171" s="9" t="n">
        <v>149</v>
      </c>
      <c r="B171" s="13" t="n">
        <v>50496</v>
      </c>
      <c r="C171" s="11">
        <f>G170</f>
        <v/>
      </c>
      <c r="D171" s="11">
        <f>$B$4</f>
        <v/>
      </c>
      <c r="E171" s="11">
        <f>MAX(0,C171*$B$5/12)</f>
        <v/>
      </c>
      <c r="F171" s="11">
        <f>MAX(0,MIN(C171,D-E171))</f>
        <v/>
      </c>
      <c r="G171" s="11">
        <f>MAX(0,C171-F171)</f>
        <v/>
      </c>
    </row>
    <row r="172">
      <c r="A172" s="9" t="n">
        <v>150</v>
      </c>
      <c r="B172" s="13" t="n">
        <v>50526</v>
      </c>
      <c r="C172" s="11">
        <f>G171</f>
        <v/>
      </c>
      <c r="D172" s="11">
        <f>$B$4</f>
        <v/>
      </c>
      <c r="E172" s="11">
        <f>MAX(0,C172*$B$5/12)</f>
        <v/>
      </c>
      <c r="F172" s="11">
        <f>MAX(0,MIN(C172,D-E172))</f>
        <v/>
      </c>
      <c r="G172" s="11">
        <f>MAX(0,C172-F172)</f>
        <v/>
      </c>
    </row>
    <row r="173">
      <c r="A173" s="9" t="n">
        <v>151</v>
      </c>
      <c r="B173" s="13" t="n">
        <v>50557</v>
      </c>
      <c r="C173" s="11">
        <f>G172</f>
        <v/>
      </c>
      <c r="D173" s="11">
        <f>$B$4</f>
        <v/>
      </c>
      <c r="E173" s="11">
        <f>MAX(0,C173*$B$5/12)</f>
        <v/>
      </c>
      <c r="F173" s="11">
        <f>MAX(0,MIN(C173,D-E173))</f>
        <v/>
      </c>
      <c r="G173" s="11">
        <f>MAX(0,C173-F173)</f>
        <v/>
      </c>
    </row>
    <row r="174">
      <c r="A174" s="9" t="n">
        <v>152</v>
      </c>
      <c r="B174" s="13" t="n">
        <v>50587</v>
      </c>
      <c r="C174" s="11">
        <f>G173</f>
        <v/>
      </c>
      <c r="D174" s="11">
        <f>$B$4</f>
        <v/>
      </c>
      <c r="E174" s="11">
        <f>MAX(0,C174*$B$5/12)</f>
        <v/>
      </c>
      <c r="F174" s="11">
        <f>MAX(0,MIN(C174,D-E174))</f>
        <v/>
      </c>
      <c r="G174" s="11">
        <f>MAX(0,C174-F174)</f>
        <v/>
      </c>
    </row>
    <row r="175">
      <c r="A175" s="9" t="n">
        <v>153</v>
      </c>
      <c r="B175" s="13" t="n">
        <v>50618</v>
      </c>
      <c r="C175" s="11">
        <f>G174</f>
        <v/>
      </c>
      <c r="D175" s="11">
        <f>$B$4</f>
        <v/>
      </c>
      <c r="E175" s="11">
        <f>MAX(0,C175*$B$5/12)</f>
        <v/>
      </c>
      <c r="F175" s="11">
        <f>MAX(0,MIN(C175,D-E175))</f>
        <v/>
      </c>
      <c r="G175" s="11">
        <f>MAX(0,C175-F175)</f>
        <v/>
      </c>
    </row>
    <row r="176">
      <c r="A176" s="9" t="n">
        <v>154</v>
      </c>
      <c r="B176" s="13" t="n">
        <v>50649</v>
      </c>
      <c r="C176" s="11">
        <f>G175</f>
        <v/>
      </c>
      <c r="D176" s="11">
        <f>$B$4</f>
        <v/>
      </c>
      <c r="E176" s="11">
        <f>MAX(0,C176*$B$5/12)</f>
        <v/>
      </c>
      <c r="F176" s="11">
        <f>MAX(0,MIN(C176,D-E176))</f>
        <v/>
      </c>
      <c r="G176" s="11">
        <f>MAX(0,C176-F176)</f>
        <v/>
      </c>
    </row>
    <row r="177">
      <c r="A177" s="9" t="n">
        <v>155</v>
      </c>
      <c r="B177" s="13" t="n">
        <v>50679</v>
      </c>
      <c r="C177" s="11">
        <f>G176</f>
        <v/>
      </c>
      <c r="D177" s="11">
        <f>$B$4</f>
        <v/>
      </c>
      <c r="E177" s="11">
        <f>MAX(0,C177*$B$5/12)</f>
        <v/>
      </c>
      <c r="F177" s="11">
        <f>MAX(0,MIN(C177,D-E177))</f>
        <v/>
      </c>
      <c r="G177" s="11">
        <f>MAX(0,C177-F177)</f>
        <v/>
      </c>
    </row>
    <row r="178">
      <c r="A178" s="9" t="n">
        <v>156</v>
      </c>
      <c r="B178" s="13" t="n">
        <v>50710</v>
      </c>
      <c r="C178" s="11">
        <f>G177</f>
        <v/>
      </c>
      <c r="D178" s="11">
        <f>$B$4</f>
        <v/>
      </c>
      <c r="E178" s="11">
        <f>MAX(0,C178*$B$5/12)</f>
        <v/>
      </c>
      <c r="F178" s="11">
        <f>MAX(0,MIN(C178,D-E178))</f>
        <v/>
      </c>
      <c r="G178" s="11">
        <f>MAX(0,C178-F178)</f>
        <v/>
      </c>
    </row>
    <row r="179">
      <c r="A179" s="9" t="n">
        <v>157</v>
      </c>
      <c r="B179" s="13" t="n">
        <v>50740</v>
      </c>
      <c r="C179" s="11">
        <f>G178</f>
        <v/>
      </c>
      <c r="D179" s="11">
        <f>$B$4</f>
        <v/>
      </c>
      <c r="E179" s="11">
        <f>MAX(0,C179*$B$5/12)</f>
        <v/>
      </c>
      <c r="F179" s="11">
        <f>MAX(0,MIN(C179,D-E179))</f>
        <v/>
      </c>
      <c r="G179" s="11">
        <f>MAX(0,C179-F179)</f>
        <v/>
      </c>
    </row>
    <row r="180">
      <c r="A180" s="9" t="n">
        <v>158</v>
      </c>
      <c r="B180" s="13" t="n">
        <v>50771</v>
      </c>
      <c r="C180" s="11">
        <f>G179</f>
        <v/>
      </c>
      <c r="D180" s="11">
        <f>$B$4</f>
        <v/>
      </c>
      <c r="E180" s="11">
        <f>MAX(0,C180*$B$5/12)</f>
        <v/>
      </c>
      <c r="F180" s="11">
        <f>MAX(0,MIN(C180,D-E180))</f>
        <v/>
      </c>
      <c r="G180" s="11">
        <f>MAX(0,C180-F180)</f>
        <v/>
      </c>
    </row>
    <row r="181">
      <c r="A181" s="9" t="n">
        <v>159</v>
      </c>
      <c r="B181" s="13" t="n">
        <v>50802</v>
      </c>
      <c r="C181" s="11">
        <f>G180</f>
        <v/>
      </c>
      <c r="D181" s="11">
        <f>$B$4</f>
        <v/>
      </c>
      <c r="E181" s="11">
        <f>MAX(0,C181*$B$5/12)</f>
        <v/>
      </c>
      <c r="F181" s="11">
        <f>MAX(0,MIN(C181,D-E181))</f>
        <v/>
      </c>
      <c r="G181" s="11">
        <f>MAX(0,C181-F181)</f>
        <v/>
      </c>
    </row>
    <row r="182">
      <c r="A182" s="9" t="n">
        <v>160</v>
      </c>
      <c r="B182" s="13" t="n">
        <v>50830</v>
      </c>
      <c r="C182" s="11">
        <f>G181</f>
        <v/>
      </c>
      <c r="D182" s="11">
        <f>$B$4</f>
        <v/>
      </c>
      <c r="E182" s="11">
        <f>MAX(0,C182*$B$5/12)</f>
        <v/>
      </c>
      <c r="F182" s="11">
        <f>MAX(0,MIN(C182,D-E182))</f>
        <v/>
      </c>
      <c r="G182" s="11">
        <f>MAX(0,C182-F182)</f>
        <v/>
      </c>
    </row>
    <row r="183">
      <c r="A183" s="9" t="n">
        <v>161</v>
      </c>
      <c r="B183" s="13" t="n">
        <v>50861</v>
      </c>
      <c r="C183" s="11">
        <f>G182</f>
        <v/>
      </c>
      <c r="D183" s="11">
        <f>$B$4</f>
        <v/>
      </c>
      <c r="E183" s="11">
        <f>MAX(0,C183*$B$5/12)</f>
        <v/>
      </c>
      <c r="F183" s="11">
        <f>MAX(0,MIN(C183,D-E183))</f>
        <v/>
      </c>
      <c r="G183" s="11">
        <f>MAX(0,C183-F183)</f>
        <v/>
      </c>
    </row>
    <row r="184">
      <c r="A184" s="9" t="n">
        <v>162</v>
      </c>
      <c r="B184" s="13" t="n">
        <v>50891</v>
      </c>
      <c r="C184" s="11">
        <f>G183</f>
        <v/>
      </c>
      <c r="D184" s="11">
        <f>$B$4</f>
        <v/>
      </c>
      <c r="E184" s="11">
        <f>MAX(0,C184*$B$5/12)</f>
        <v/>
      </c>
      <c r="F184" s="11">
        <f>MAX(0,MIN(C184,D-E184))</f>
        <v/>
      </c>
      <c r="G184" s="11">
        <f>MAX(0,C184-F184)</f>
        <v/>
      </c>
    </row>
    <row r="185">
      <c r="A185" s="9" t="n">
        <v>163</v>
      </c>
      <c r="B185" s="13" t="n">
        <v>50922</v>
      </c>
      <c r="C185" s="11">
        <f>G184</f>
        <v/>
      </c>
      <c r="D185" s="11">
        <f>$B$4</f>
        <v/>
      </c>
      <c r="E185" s="11">
        <f>MAX(0,C185*$B$5/12)</f>
        <v/>
      </c>
      <c r="F185" s="11">
        <f>MAX(0,MIN(C185,D-E185))</f>
        <v/>
      </c>
      <c r="G185" s="11">
        <f>MAX(0,C185-F185)</f>
        <v/>
      </c>
    </row>
    <row r="186">
      <c r="A186" s="9" t="n">
        <v>164</v>
      </c>
      <c r="B186" s="13" t="n">
        <v>50952</v>
      </c>
      <c r="C186" s="11">
        <f>G185</f>
        <v/>
      </c>
      <c r="D186" s="11">
        <f>$B$4</f>
        <v/>
      </c>
      <c r="E186" s="11">
        <f>MAX(0,C186*$B$5/12)</f>
        <v/>
      </c>
      <c r="F186" s="11">
        <f>MAX(0,MIN(C186,D-E186))</f>
        <v/>
      </c>
      <c r="G186" s="11">
        <f>MAX(0,C186-F186)</f>
        <v/>
      </c>
    </row>
    <row r="187">
      <c r="A187" s="9" t="n">
        <v>165</v>
      </c>
      <c r="B187" s="13" t="n">
        <v>50983</v>
      </c>
      <c r="C187" s="11">
        <f>G186</f>
        <v/>
      </c>
      <c r="D187" s="11">
        <f>$B$4</f>
        <v/>
      </c>
      <c r="E187" s="11">
        <f>MAX(0,C187*$B$5/12)</f>
        <v/>
      </c>
      <c r="F187" s="11">
        <f>MAX(0,MIN(C187,D-E187))</f>
        <v/>
      </c>
      <c r="G187" s="11">
        <f>MAX(0,C187-F187)</f>
        <v/>
      </c>
    </row>
    <row r="188">
      <c r="A188" s="9" t="n">
        <v>166</v>
      </c>
      <c r="B188" s="13" t="n">
        <v>51014</v>
      </c>
      <c r="C188" s="11">
        <f>G187</f>
        <v/>
      </c>
      <c r="D188" s="11">
        <f>$B$4</f>
        <v/>
      </c>
      <c r="E188" s="11">
        <f>MAX(0,C188*$B$5/12)</f>
        <v/>
      </c>
      <c r="F188" s="11">
        <f>MAX(0,MIN(C188,D-E188))</f>
        <v/>
      </c>
      <c r="G188" s="11">
        <f>MAX(0,C188-F188)</f>
        <v/>
      </c>
    </row>
    <row r="189">
      <c r="A189" s="9" t="n">
        <v>167</v>
      </c>
      <c r="B189" s="13" t="n">
        <v>51044</v>
      </c>
      <c r="C189" s="11">
        <f>G188</f>
        <v/>
      </c>
      <c r="D189" s="11">
        <f>$B$4</f>
        <v/>
      </c>
      <c r="E189" s="11">
        <f>MAX(0,C189*$B$5/12)</f>
        <v/>
      </c>
      <c r="F189" s="11">
        <f>MAX(0,MIN(C189,D-E189))</f>
        <v/>
      </c>
      <c r="G189" s="11">
        <f>MAX(0,C189-F189)</f>
        <v/>
      </c>
    </row>
    <row r="190">
      <c r="A190" s="9" t="n">
        <v>168</v>
      </c>
      <c r="B190" s="13" t="n">
        <v>51075</v>
      </c>
      <c r="C190" s="11">
        <f>G189</f>
        <v/>
      </c>
      <c r="D190" s="11">
        <f>$B$4</f>
        <v/>
      </c>
      <c r="E190" s="11">
        <f>MAX(0,C190*$B$5/12)</f>
        <v/>
      </c>
      <c r="F190" s="11">
        <f>MAX(0,MIN(C190,D-E190))</f>
        <v/>
      </c>
      <c r="G190" s="11">
        <f>MAX(0,C190-F190)</f>
        <v/>
      </c>
    </row>
    <row r="191">
      <c r="A191" s="9" t="n">
        <v>169</v>
      </c>
      <c r="B191" s="13" t="n">
        <v>51105</v>
      </c>
      <c r="C191" s="11">
        <f>G190</f>
        <v/>
      </c>
      <c r="D191" s="11">
        <f>$B$4</f>
        <v/>
      </c>
      <c r="E191" s="11">
        <f>MAX(0,C191*$B$5/12)</f>
        <v/>
      </c>
      <c r="F191" s="11">
        <f>MAX(0,MIN(C191,D-E191))</f>
        <v/>
      </c>
      <c r="G191" s="11">
        <f>MAX(0,C191-F191)</f>
        <v/>
      </c>
    </row>
    <row r="192">
      <c r="A192" s="9" t="n">
        <v>170</v>
      </c>
      <c r="B192" s="13" t="n">
        <v>51136</v>
      </c>
      <c r="C192" s="11">
        <f>G191</f>
        <v/>
      </c>
      <c r="D192" s="11">
        <f>$B$4</f>
        <v/>
      </c>
      <c r="E192" s="11">
        <f>MAX(0,C192*$B$5/12)</f>
        <v/>
      </c>
      <c r="F192" s="11">
        <f>MAX(0,MIN(C192,D-E192))</f>
        <v/>
      </c>
      <c r="G192" s="11">
        <f>MAX(0,C192-F192)</f>
        <v/>
      </c>
    </row>
    <row r="193">
      <c r="A193" s="9" t="n">
        <v>171</v>
      </c>
      <c r="B193" s="13" t="n">
        <v>51167</v>
      </c>
      <c r="C193" s="11">
        <f>G192</f>
        <v/>
      </c>
      <c r="D193" s="11">
        <f>$B$4</f>
        <v/>
      </c>
      <c r="E193" s="11">
        <f>MAX(0,C193*$B$5/12)</f>
        <v/>
      </c>
      <c r="F193" s="11">
        <f>MAX(0,MIN(C193,D-E193))</f>
        <v/>
      </c>
      <c r="G193" s="11">
        <f>MAX(0,C193-F193)</f>
        <v/>
      </c>
    </row>
    <row r="194">
      <c r="A194" s="9" t="n">
        <v>172</v>
      </c>
      <c r="B194" s="13" t="n">
        <v>51196</v>
      </c>
      <c r="C194" s="11">
        <f>G193</f>
        <v/>
      </c>
      <c r="D194" s="11">
        <f>$B$4</f>
        <v/>
      </c>
      <c r="E194" s="11">
        <f>MAX(0,C194*$B$5/12)</f>
        <v/>
      </c>
      <c r="F194" s="11">
        <f>MAX(0,MIN(C194,D-E194))</f>
        <v/>
      </c>
      <c r="G194" s="11">
        <f>MAX(0,C194-F194)</f>
        <v/>
      </c>
    </row>
    <row r="195">
      <c r="A195" s="9" t="n">
        <v>173</v>
      </c>
      <c r="B195" s="13" t="n">
        <v>51227</v>
      </c>
      <c r="C195" s="11">
        <f>G194</f>
        <v/>
      </c>
      <c r="D195" s="11">
        <f>$B$4</f>
        <v/>
      </c>
      <c r="E195" s="11">
        <f>MAX(0,C195*$B$5/12)</f>
        <v/>
      </c>
      <c r="F195" s="11">
        <f>MAX(0,MIN(C195,D-E195))</f>
        <v/>
      </c>
      <c r="G195" s="11">
        <f>MAX(0,C195-F195)</f>
        <v/>
      </c>
    </row>
    <row r="196">
      <c r="A196" s="9" t="n">
        <v>174</v>
      </c>
      <c r="B196" s="13" t="n">
        <v>51257</v>
      </c>
      <c r="C196" s="11">
        <f>G195</f>
        <v/>
      </c>
      <c r="D196" s="11">
        <f>$B$4</f>
        <v/>
      </c>
      <c r="E196" s="11">
        <f>MAX(0,C196*$B$5/12)</f>
        <v/>
      </c>
      <c r="F196" s="11">
        <f>MAX(0,MIN(C196,D-E196))</f>
        <v/>
      </c>
      <c r="G196" s="11">
        <f>MAX(0,C196-F196)</f>
        <v/>
      </c>
    </row>
    <row r="197">
      <c r="A197" s="9" t="n">
        <v>175</v>
      </c>
      <c r="B197" s="13" t="n">
        <v>51288</v>
      </c>
      <c r="C197" s="11">
        <f>G196</f>
        <v/>
      </c>
      <c r="D197" s="11">
        <f>$B$4</f>
        <v/>
      </c>
      <c r="E197" s="11">
        <f>MAX(0,C197*$B$5/12)</f>
        <v/>
      </c>
      <c r="F197" s="11">
        <f>MAX(0,MIN(C197,D-E197))</f>
        <v/>
      </c>
      <c r="G197" s="11">
        <f>MAX(0,C197-F197)</f>
        <v/>
      </c>
    </row>
    <row r="198">
      <c r="A198" s="9" t="n">
        <v>176</v>
      </c>
      <c r="B198" s="13" t="n">
        <v>51318</v>
      </c>
      <c r="C198" s="11">
        <f>G197</f>
        <v/>
      </c>
      <c r="D198" s="11">
        <f>$B$4</f>
        <v/>
      </c>
      <c r="E198" s="11">
        <f>MAX(0,C198*$B$5/12)</f>
        <v/>
      </c>
      <c r="F198" s="11">
        <f>MAX(0,MIN(C198,D-E198))</f>
        <v/>
      </c>
      <c r="G198" s="11">
        <f>MAX(0,C198-F198)</f>
        <v/>
      </c>
    </row>
    <row r="199">
      <c r="A199" s="9" t="n">
        <v>177</v>
      </c>
      <c r="B199" s="13" t="n">
        <v>51349</v>
      </c>
      <c r="C199" s="11">
        <f>G198</f>
        <v/>
      </c>
      <c r="D199" s="11">
        <f>$B$4</f>
        <v/>
      </c>
      <c r="E199" s="11">
        <f>MAX(0,C199*$B$5/12)</f>
        <v/>
      </c>
      <c r="F199" s="11">
        <f>MAX(0,MIN(C199,D-E199))</f>
        <v/>
      </c>
      <c r="G199" s="11">
        <f>MAX(0,C199-F199)</f>
        <v/>
      </c>
    </row>
    <row r="200">
      <c r="A200" s="9" t="n">
        <v>178</v>
      </c>
      <c r="B200" s="13" t="n">
        <v>51380</v>
      </c>
      <c r="C200" s="11">
        <f>G199</f>
        <v/>
      </c>
      <c r="D200" s="11">
        <f>$B$4</f>
        <v/>
      </c>
      <c r="E200" s="11">
        <f>MAX(0,C200*$B$5/12)</f>
        <v/>
      </c>
      <c r="F200" s="11">
        <f>MAX(0,MIN(C200,D-E200))</f>
        <v/>
      </c>
      <c r="G200" s="11">
        <f>MAX(0,C200-F200)</f>
        <v/>
      </c>
    </row>
    <row r="201">
      <c r="A201" s="9" t="n">
        <v>179</v>
      </c>
      <c r="B201" s="13" t="n">
        <v>51410</v>
      </c>
      <c r="C201" s="11">
        <f>G200</f>
        <v/>
      </c>
      <c r="D201" s="11">
        <f>$B$4</f>
        <v/>
      </c>
      <c r="E201" s="11">
        <f>MAX(0,C201*$B$5/12)</f>
        <v/>
      </c>
      <c r="F201" s="11">
        <f>MAX(0,MIN(C201,D-E201))</f>
        <v/>
      </c>
      <c r="G201" s="11">
        <f>MAX(0,C201-F201)</f>
        <v/>
      </c>
    </row>
    <row r="202">
      <c r="A202" s="9" t="n">
        <v>180</v>
      </c>
      <c r="B202" s="13" t="n">
        <v>51441</v>
      </c>
      <c r="C202" s="11">
        <f>G201</f>
        <v/>
      </c>
      <c r="D202" s="11">
        <f>$B$4</f>
        <v/>
      </c>
      <c r="E202" s="11">
        <f>MAX(0,C202*$B$5/12)</f>
        <v/>
      </c>
      <c r="F202" s="11">
        <f>MAX(0,MIN(C202,D-E202))</f>
        <v/>
      </c>
      <c r="G202" s="11">
        <f>MAX(0,C202-F202)</f>
        <v/>
      </c>
    </row>
    <row r="203">
      <c r="A203" s="9" t="n">
        <v>181</v>
      </c>
      <c r="B203" s="13" t="n">
        <v>51471</v>
      </c>
      <c r="C203" s="11">
        <f>G202</f>
        <v/>
      </c>
      <c r="D203" s="11">
        <f>$B$4</f>
        <v/>
      </c>
      <c r="E203" s="11">
        <f>MAX(0,C203*$B$5/12)</f>
        <v/>
      </c>
      <c r="F203" s="11">
        <f>MAX(0,MIN(C203,D-E203))</f>
        <v/>
      </c>
      <c r="G203" s="11">
        <f>MAX(0,C203-F203)</f>
        <v/>
      </c>
    </row>
    <row r="204">
      <c r="A204" s="9" t="n">
        <v>182</v>
      </c>
      <c r="B204" s="13" t="n">
        <v>51502</v>
      </c>
      <c r="C204" s="11">
        <f>G203</f>
        <v/>
      </c>
      <c r="D204" s="11">
        <f>$B$4</f>
        <v/>
      </c>
      <c r="E204" s="11">
        <f>MAX(0,C204*$B$5/12)</f>
        <v/>
      </c>
      <c r="F204" s="11">
        <f>MAX(0,MIN(C204,D-E204))</f>
        <v/>
      </c>
      <c r="G204" s="11">
        <f>MAX(0,C204-F204)</f>
        <v/>
      </c>
    </row>
    <row r="205">
      <c r="A205" s="9" t="n">
        <v>183</v>
      </c>
      <c r="B205" s="13" t="n">
        <v>51533</v>
      </c>
      <c r="C205" s="11">
        <f>G204</f>
        <v/>
      </c>
      <c r="D205" s="11">
        <f>$B$4</f>
        <v/>
      </c>
      <c r="E205" s="11">
        <f>MAX(0,C205*$B$5/12)</f>
        <v/>
      </c>
      <c r="F205" s="11">
        <f>MAX(0,MIN(C205,D-E205))</f>
        <v/>
      </c>
      <c r="G205" s="11">
        <f>MAX(0,C205-F205)</f>
        <v/>
      </c>
    </row>
    <row r="206">
      <c r="A206" s="9" t="n">
        <v>184</v>
      </c>
      <c r="B206" s="13" t="n">
        <v>51561</v>
      </c>
      <c r="C206" s="11">
        <f>G205</f>
        <v/>
      </c>
      <c r="D206" s="11">
        <f>$B$4</f>
        <v/>
      </c>
      <c r="E206" s="11">
        <f>MAX(0,C206*$B$5/12)</f>
        <v/>
      </c>
      <c r="F206" s="11">
        <f>MAX(0,MIN(C206,D-E206))</f>
        <v/>
      </c>
      <c r="G206" s="11">
        <f>MAX(0,C206-F206)</f>
        <v/>
      </c>
    </row>
    <row r="207">
      <c r="A207" s="9" t="n">
        <v>185</v>
      </c>
      <c r="B207" s="13" t="n">
        <v>51592</v>
      </c>
      <c r="C207" s="11">
        <f>G206</f>
        <v/>
      </c>
      <c r="D207" s="11">
        <f>$B$4</f>
        <v/>
      </c>
      <c r="E207" s="11">
        <f>MAX(0,C207*$B$5/12)</f>
        <v/>
      </c>
      <c r="F207" s="11">
        <f>MAX(0,MIN(C207,D-E207))</f>
        <v/>
      </c>
      <c r="G207" s="11">
        <f>MAX(0,C207-F207)</f>
        <v/>
      </c>
    </row>
    <row r="208">
      <c r="A208" s="9" t="n">
        <v>186</v>
      </c>
      <c r="B208" s="13" t="n">
        <v>51622</v>
      </c>
      <c r="C208" s="11">
        <f>G207</f>
        <v/>
      </c>
      <c r="D208" s="11">
        <f>$B$4</f>
        <v/>
      </c>
      <c r="E208" s="11">
        <f>MAX(0,C208*$B$5/12)</f>
        <v/>
      </c>
      <c r="F208" s="11">
        <f>MAX(0,MIN(C208,D-E208))</f>
        <v/>
      </c>
      <c r="G208" s="11">
        <f>MAX(0,C208-F208)</f>
        <v/>
      </c>
    </row>
    <row r="209">
      <c r="A209" s="9" t="n">
        <v>187</v>
      </c>
      <c r="B209" s="13" t="n">
        <v>51653</v>
      </c>
      <c r="C209" s="11">
        <f>G208</f>
        <v/>
      </c>
      <c r="D209" s="11">
        <f>$B$4</f>
        <v/>
      </c>
      <c r="E209" s="11">
        <f>MAX(0,C209*$B$5/12)</f>
        <v/>
      </c>
      <c r="F209" s="11">
        <f>MAX(0,MIN(C209,D-E209))</f>
        <v/>
      </c>
      <c r="G209" s="11">
        <f>MAX(0,C209-F209)</f>
        <v/>
      </c>
    </row>
    <row r="210">
      <c r="A210" s="9" t="n">
        <v>188</v>
      </c>
      <c r="B210" s="13" t="n">
        <v>51683</v>
      </c>
      <c r="C210" s="11">
        <f>G209</f>
        <v/>
      </c>
      <c r="D210" s="11">
        <f>$B$4</f>
        <v/>
      </c>
      <c r="E210" s="11">
        <f>MAX(0,C210*$B$5/12)</f>
        <v/>
      </c>
      <c r="F210" s="11">
        <f>MAX(0,MIN(C210,D-E210))</f>
        <v/>
      </c>
      <c r="G210" s="11">
        <f>MAX(0,C210-F210)</f>
        <v/>
      </c>
    </row>
    <row r="211">
      <c r="A211" s="9" t="n">
        <v>189</v>
      </c>
      <c r="B211" s="13" t="n">
        <v>51714</v>
      </c>
      <c r="C211" s="11">
        <f>G210</f>
        <v/>
      </c>
      <c r="D211" s="11">
        <f>$B$4</f>
        <v/>
      </c>
      <c r="E211" s="11">
        <f>MAX(0,C211*$B$5/12)</f>
        <v/>
      </c>
      <c r="F211" s="11">
        <f>MAX(0,MIN(C211,D-E211))</f>
        <v/>
      </c>
      <c r="G211" s="11">
        <f>MAX(0,C211-F211)</f>
        <v/>
      </c>
    </row>
    <row r="212">
      <c r="A212" s="9" t="n">
        <v>190</v>
      </c>
      <c r="B212" s="13" t="n">
        <v>51745</v>
      </c>
      <c r="C212" s="11">
        <f>G211</f>
        <v/>
      </c>
      <c r="D212" s="11">
        <f>$B$4</f>
        <v/>
      </c>
      <c r="E212" s="11">
        <f>MAX(0,C212*$B$5/12)</f>
        <v/>
      </c>
      <c r="F212" s="11">
        <f>MAX(0,MIN(C212,D-E212))</f>
        <v/>
      </c>
      <c r="G212" s="11">
        <f>MAX(0,C212-F212)</f>
        <v/>
      </c>
    </row>
    <row r="213">
      <c r="A213" s="9" t="n">
        <v>191</v>
      </c>
      <c r="B213" s="13" t="n">
        <v>51775</v>
      </c>
      <c r="C213" s="11">
        <f>G212</f>
        <v/>
      </c>
      <c r="D213" s="11">
        <f>$B$4</f>
        <v/>
      </c>
      <c r="E213" s="11">
        <f>MAX(0,C213*$B$5/12)</f>
        <v/>
      </c>
      <c r="F213" s="11">
        <f>MAX(0,MIN(C213,D-E213))</f>
        <v/>
      </c>
      <c r="G213" s="11">
        <f>MAX(0,C213-F213)</f>
        <v/>
      </c>
    </row>
    <row r="214">
      <c r="A214" s="9" t="n">
        <v>192</v>
      </c>
      <c r="B214" s="13" t="n">
        <v>51806</v>
      </c>
      <c r="C214" s="11">
        <f>G213</f>
        <v/>
      </c>
      <c r="D214" s="11">
        <f>$B$4</f>
        <v/>
      </c>
      <c r="E214" s="11">
        <f>MAX(0,C214*$B$5/12)</f>
        <v/>
      </c>
      <c r="F214" s="11">
        <f>MAX(0,MIN(C214,D-E214))</f>
        <v/>
      </c>
      <c r="G214" s="11">
        <f>MAX(0,C214-F214)</f>
        <v/>
      </c>
    </row>
    <row r="215">
      <c r="A215" s="9" t="n">
        <v>193</v>
      </c>
      <c r="B215" s="13" t="n">
        <v>51836</v>
      </c>
      <c r="C215" s="11">
        <f>G214</f>
        <v/>
      </c>
      <c r="D215" s="11">
        <f>$B$4</f>
        <v/>
      </c>
      <c r="E215" s="11">
        <f>MAX(0,C215*$B$5/12)</f>
        <v/>
      </c>
      <c r="F215" s="11">
        <f>MAX(0,MIN(C215,D-E215))</f>
        <v/>
      </c>
      <c r="G215" s="11">
        <f>MAX(0,C215-F215)</f>
        <v/>
      </c>
    </row>
    <row r="216">
      <c r="A216" s="9" t="n">
        <v>194</v>
      </c>
      <c r="B216" s="13" t="n">
        <v>51867</v>
      </c>
      <c r="C216" s="11">
        <f>G215</f>
        <v/>
      </c>
      <c r="D216" s="11">
        <f>$B$4</f>
        <v/>
      </c>
      <c r="E216" s="11">
        <f>MAX(0,C216*$B$5/12)</f>
        <v/>
      </c>
      <c r="F216" s="11">
        <f>MAX(0,MIN(C216,D-E216))</f>
        <v/>
      </c>
      <c r="G216" s="11">
        <f>MAX(0,C216-F216)</f>
        <v/>
      </c>
    </row>
    <row r="217">
      <c r="A217" s="9" t="n">
        <v>195</v>
      </c>
      <c r="B217" s="13" t="n">
        <v>51898</v>
      </c>
      <c r="C217" s="11">
        <f>G216</f>
        <v/>
      </c>
      <c r="D217" s="11">
        <f>$B$4</f>
        <v/>
      </c>
      <c r="E217" s="11">
        <f>MAX(0,C217*$B$5/12)</f>
        <v/>
      </c>
      <c r="F217" s="11">
        <f>MAX(0,MIN(C217,D-E217))</f>
        <v/>
      </c>
      <c r="G217" s="11">
        <f>MAX(0,C217-F217)</f>
        <v/>
      </c>
    </row>
    <row r="218">
      <c r="A218" s="9" t="n">
        <v>196</v>
      </c>
      <c r="B218" s="13" t="n">
        <v>51926</v>
      </c>
      <c r="C218" s="11">
        <f>G217</f>
        <v/>
      </c>
      <c r="D218" s="11">
        <f>$B$4</f>
        <v/>
      </c>
      <c r="E218" s="11">
        <f>MAX(0,C218*$B$5/12)</f>
        <v/>
      </c>
      <c r="F218" s="11">
        <f>MAX(0,MIN(C218,D-E218))</f>
        <v/>
      </c>
      <c r="G218" s="11">
        <f>MAX(0,C218-F218)</f>
        <v/>
      </c>
    </row>
    <row r="219">
      <c r="A219" s="9" t="n">
        <v>197</v>
      </c>
      <c r="B219" s="13" t="n">
        <v>51957</v>
      </c>
      <c r="C219" s="11">
        <f>G218</f>
        <v/>
      </c>
      <c r="D219" s="11">
        <f>$B$4</f>
        <v/>
      </c>
      <c r="E219" s="11">
        <f>MAX(0,C219*$B$5/12)</f>
        <v/>
      </c>
      <c r="F219" s="11">
        <f>MAX(0,MIN(C219,D-E219))</f>
        <v/>
      </c>
      <c r="G219" s="11">
        <f>MAX(0,C219-F219)</f>
        <v/>
      </c>
    </row>
    <row r="220">
      <c r="A220" s="9" t="n">
        <v>198</v>
      </c>
      <c r="B220" s="13" t="n">
        <v>51987</v>
      </c>
      <c r="C220" s="11">
        <f>G219</f>
        <v/>
      </c>
      <c r="D220" s="11">
        <f>$B$4</f>
        <v/>
      </c>
      <c r="E220" s="11">
        <f>MAX(0,C220*$B$5/12)</f>
        <v/>
      </c>
      <c r="F220" s="11">
        <f>MAX(0,MIN(C220,D-E220))</f>
        <v/>
      </c>
      <c r="G220" s="11">
        <f>MAX(0,C220-F220)</f>
        <v/>
      </c>
    </row>
    <row r="221">
      <c r="A221" s="9" t="n">
        <v>199</v>
      </c>
      <c r="B221" s="13" t="n">
        <v>52018</v>
      </c>
      <c r="C221" s="11">
        <f>G220</f>
        <v/>
      </c>
      <c r="D221" s="11">
        <f>$B$4</f>
        <v/>
      </c>
      <c r="E221" s="11">
        <f>MAX(0,C221*$B$5/12)</f>
        <v/>
      </c>
      <c r="F221" s="11">
        <f>MAX(0,MIN(C221,D-E221))</f>
        <v/>
      </c>
      <c r="G221" s="11">
        <f>MAX(0,C221-F221)</f>
        <v/>
      </c>
    </row>
    <row r="222">
      <c r="A222" s="9" t="n">
        <v>200</v>
      </c>
      <c r="B222" s="13" t="n">
        <v>52048</v>
      </c>
      <c r="C222" s="11">
        <f>G221</f>
        <v/>
      </c>
      <c r="D222" s="11">
        <f>$B$4</f>
        <v/>
      </c>
      <c r="E222" s="11">
        <f>MAX(0,C222*$B$5/12)</f>
        <v/>
      </c>
      <c r="F222" s="11">
        <f>MAX(0,MIN(C222,D-E222))</f>
        <v/>
      </c>
      <c r="G222" s="11">
        <f>MAX(0,C222-F222)</f>
        <v/>
      </c>
    </row>
    <row r="223">
      <c r="A223" s="9" t="n">
        <v>201</v>
      </c>
      <c r="B223" s="13" t="n">
        <v>52079</v>
      </c>
      <c r="C223" s="11">
        <f>G222</f>
        <v/>
      </c>
      <c r="D223" s="11">
        <f>$B$4</f>
        <v/>
      </c>
      <c r="E223" s="11">
        <f>MAX(0,C223*$B$5/12)</f>
        <v/>
      </c>
      <c r="F223" s="11">
        <f>MAX(0,MIN(C223,D-E223))</f>
        <v/>
      </c>
      <c r="G223" s="11">
        <f>MAX(0,C223-F223)</f>
        <v/>
      </c>
    </row>
    <row r="224">
      <c r="A224" s="9" t="n">
        <v>202</v>
      </c>
      <c r="B224" s="13" t="n">
        <v>52110</v>
      </c>
      <c r="C224" s="11">
        <f>G223</f>
        <v/>
      </c>
      <c r="D224" s="11">
        <f>$B$4</f>
        <v/>
      </c>
      <c r="E224" s="11">
        <f>MAX(0,C224*$B$5/12)</f>
        <v/>
      </c>
      <c r="F224" s="11">
        <f>MAX(0,MIN(C224,D-E224))</f>
        <v/>
      </c>
      <c r="G224" s="11">
        <f>MAX(0,C224-F224)</f>
        <v/>
      </c>
    </row>
    <row r="225">
      <c r="A225" s="9" t="n">
        <v>203</v>
      </c>
      <c r="B225" s="13" t="n">
        <v>52140</v>
      </c>
      <c r="C225" s="11">
        <f>G224</f>
        <v/>
      </c>
      <c r="D225" s="11">
        <f>$B$4</f>
        <v/>
      </c>
      <c r="E225" s="11">
        <f>MAX(0,C225*$B$5/12)</f>
        <v/>
      </c>
      <c r="F225" s="11">
        <f>MAX(0,MIN(C225,D-E225))</f>
        <v/>
      </c>
      <c r="G225" s="11">
        <f>MAX(0,C225-F225)</f>
        <v/>
      </c>
    </row>
    <row r="226">
      <c r="A226" s="9" t="n">
        <v>204</v>
      </c>
      <c r="B226" s="13" t="n">
        <v>52171</v>
      </c>
      <c r="C226" s="11">
        <f>G225</f>
        <v/>
      </c>
      <c r="D226" s="11">
        <f>$B$4</f>
        <v/>
      </c>
      <c r="E226" s="11">
        <f>MAX(0,C226*$B$5/12)</f>
        <v/>
      </c>
      <c r="F226" s="11">
        <f>MAX(0,MIN(C226,D-E226))</f>
        <v/>
      </c>
      <c r="G226" s="11">
        <f>MAX(0,C226-F226)</f>
        <v/>
      </c>
    </row>
    <row r="227">
      <c r="A227" s="9" t="n">
        <v>205</v>
      </c>
      <c r="B227" s="13" t="n">
        <v>52201</v>
      </c>
      <c r="C227" s="11">
        <f>G226</f>
        <v/>
      </c>
      <c r="D227" s="11">
        <f>$B$4</f>
        <v/>
      </c>
      <c r="E227" s="11">
        <f>MAX(0,C227*$B$5/12)</f>
        <v/>
      </c>
      <c r="F227" s="11">
        <f>MAX(0,MIN(C227,D-E227))</f>
        <v/>
      </c>
      <c r="G227" s="11">
        <f>MAX(0,C227-F227)</f>
        <v/>
      </c>
    </row>
    <row r="228">
      <c r="A228" s="9" t="n">
        <v>206</v>
      </c>
      <c r="B228" s="13" t="n">
        <v>52232</v>
      </c>
      <c r="C228" s="11">
        <f>G227</f>
        <v/>
      </c>
      <c r="D228" s="11">
        <f>$B$4</f>
        <v/>
      </c>
      <c r="E228" s="11">
        <f>MAX(0,C228*$B$5/12)</f>
        <v/>
      </c>
      <c r="F228" s="11">
        <f>MAX(0,MIN(C228,D-E228))</f>
        <v/>
      </c>
      <c r="G228" s="11">
        <f>MAX(0,C228-F228)</f>
        <v/>
      </c>
    </row>
    <row r="229">
      <c r="A229" s="9" t="n">
        <v>207</v>
      </c>
      <c r="B229" s="13" t="n">
        <v>52263</v>
      </c>
      <c r="C229" s="11">
        <f>G228</f>
        <v/>
      </c>
      <c r="D229" s="11">
        <f>$B$4</f>
        <v/>
      </c>
      <c r="E229" s="11">
        <f>MAX(0,C229*$B$5/12)</f>
        <v/>
      </c>
      <c r="F229" s="11">
        <f>MAX(0,MIN(C229,D-E229))</f>
        <v/>
      </c>
      <c r="G229" s="11">
        <f>MAX(0,C229-F229)</f>
        <v/>
      </c>
    </row>
    <row r="230">
      <c r="A230" s="9" t="n">
        <v>208</v>
      </c>
      <c r="B230" s="13" t="n">
        <v>52291</v>
      </c>
      <c r="C230" s="11">
        <f>G229</f>
        <v/>
      </c>
      <c r="D230" s="11">
        <f>$B$4</f>
        <v/>
      </c>
      <c r="E230" s="11">
        <f>MAX(0,C230*$B$5/12)</f>
        <v/>
      </c>
      <c r="F230" s="11">
        <f>MAX(0,MIN(C230,D-E230))</f>
        <v/>
      </c>
      <c r="G230" s="11">
        <f>MAX(0,C230-F230)</f>
        <v/>
      </c>
    </row>
    <row r="231">
      <c r="A231" s="9" t="n">
        <v>209</v>
      </c>
      <c r="B231" s="13" t="n">
        <v>52322</v>
      </c>
      <c r="C231" s="11">
        <f>G230</f>
        <v/>
      </c>
      <c r="D231" s="11">
        <f>$B$4</f>
        <v/>
      </c>
      <c r="E231" s="11">
        <f>MAX(0,C231*$B$5/12)</f>
        <v/>
      </c>
      <c r="F231" s="11">
        <f>MAX(0,MIN(C231,D-E231))</f>
        <v/>
      </c>
      <c r="G231" s="11">
        <f>MAX(0,C231-F231)</f>
        <v/>
      </c>
    </row>
    <row r="232">
      <c r="A232" s="9" t="n">
        <v>210</v>
      </c>
      <c r="B232" s="13" t="n">
        <v>52352</v>
      </c>
      <c r="C232" s="11">
        <f>G231</f>
        <v/>
      </c>
      <c r="D232" s="11">
        <f>$B$4</f>
        <v/>
      </c>
      <c r="E232" s="11">
        <f>MAX(0,C232*$B$5/12)</f>
        <v/>
      </c>
      <c r="F232" s="11">
        <f>MAX(0,MIN(C232,D-E232))</f>
        <v/>
      </c>
      <c r="G232" s="11">
        <f>MAX(0,C232-F232)</f>
        <v/>
      </c>
    </row>
    <row r="233">
      <c r="A233" s="9" t="n">
        <v>211</v>
      </c>
      <c r="B233" s="13" t="n">
        <v>52383</v>
      </c>
      <c r="C233" s="11">
        <f>G232</f>
        <v/>
      </c>
      <c r="D233" s="11">
        <f>$B$4</f>
        <v/>
      </c>
      <c r="E233" s="11">
        <f>MAX(0,C233*$B$5/12)</f>
        <v/>
      </c>
      <c r="F233" s="11">
        <f>MAX(0,MIN(C233,D-E233))</f>
        <v/>
      </c>
      <c r="G233" s="11">
        <f>MAX(0,C233-F233)</f>
        <v/>
      </c>
    </row>
    <row r="234">
      <c r="A234" s="9" t="n">
        <v>212</v>
      </c>
      <c r="B234" s="13" t="n">
        <v>52413</v>
      </c>
      <c r="C234" s="11">
        <f>G233</f>
        <v/>
      </c>
      <c r="D234" s="11">
        <f>$B$4</f>
        <v/>
      </c>
      <c r="E234" s="11">
        <f>MAX(0,C234*$B$5/12)</f>
        <v/>
      </c>
      <c r="F234" s="11">
        <f>MAX(0,MIN(C234,D-E234))</f>
        <v/>
      </c>
      <c r="G234" s="11">
        <f>MAX(0,C234-F234)</f>
        <v/>
      </c>
    </row>
    <row r="235">
      <c r="A235" s="9" t="n">
        <v>213</v>
      </c>
      <c r="B235" s="13" t="n">
        <v>52444</v>
      </c>
      <c r="C235" s="11">
        <f>G234</f>
        <v/>
      </c>
      <c r="D235" s="11">
        <f>$B$4</f>
        <v/>
      </c>
      <c r="E235" s="11">
        <f>MAX(0,C235*$B$5/12)</f>
        <v/>
      </c>
      <c r="F235" s="11">
        <f>MAX(0,MIN(C235,D-E235))</f>
        <v/>
      </c>
      <c r="G235" s="11">
        <f>MAX(0,C235-F235)</f>
        <v/>
      </c>
    </row>
    <row r="236">
      <c r="A236" s="9" t="n">
        <v>214</v>
      </c>
      <c r="B236" s="13" t="n">
        <v>52475</v>
      </c>
      <c r="C236" s="11">
        <f>G235</f>
        <v/>
      </c>
      <c r="D236" s="11">
        <f>$B$4</f>
        <v/>
      </c>
      <c r="E236" s="11">
        <f>MAX(0,C236*$B$5/12)</f>
        <v/>
      </c>
      <c r="F236" s="11">
        <f>MAX(0,MIN(C236,D-E236))</f>
        <v/>
      </c>
      <c r="G236" s="11">
        <f>MAX(0,C236-F236)</f>
        <v/>
      </c>
    </row>
    <row r="237">
      <c r="A237" s="9" t="n">
        <v>215</v>
      </c>
      <c r="B237" s="13" t="n">
        <v>52505</v>
      </c>
      <c r="C237" s="11">
        <f>G236</f>
        <v/>
      </c>
      <c r="D237" s="11">
        <f>$B$4</f>
        <v/>
      </c>
      <c r="E237" s="11">
        <f>MAX(0,C237*$B$5/12)</f>
        <v/>
      </c>
      <c r="F237" s="11">
        <f>MAX(0,MIN(C237,D-E237))</f>
        <v/>
      </c>
      <c r="G237" s="11">
        <f>MAX(0,C237-F237)</f>
        <v/>
      </c>
    </row>
    <row r="238">
      <c r="A238" s="9" t="n">
        <v>216</v>
      </c>
      <c r="B238" s="13" t="n">
        <v>52536</v>
      </c>
      <c r="C238" s="11">
        <f>G237</f>
        <v/>
      </c>
      <c r="D238" s="11">
        <f>$B$4</f>
        <v/>
      </c>
      <c r="E238" s="11">
        <f>MAX(0,C238*$B$5/12)</f>
        <v/>
      </c>
      <c r="F238" s="11">
        <f>MAX(0,MIN(C238,D-E238))</f>
        <v/>
      </c>
      <c r="G238" s="11">
        <f>MAX(0,C238-F238)</f>
        <v/>
      </c>
    </row>
    <row r="239">
      <c r="A239" s="9" t="n">
        <v>217</v>
      </c>
      <c r="B239" s="13" t="n">
        <v>52566</v>
      </c>
      <c r="C239" s="11">
        <f>G238</f>
        <v/>
      </c>
      <c r="D239" s="11">
        <f>$B$4</f>
        <v/>
      </c>
      <c r="E239" s="11">
        <f>MAX(0,C239*$B$5/12)</f>
        <v/>
      </c>
      <c r="F239" s="11">
        <f>MAX(0,MIN(C239,D-E239))</f>
        <v/>
      </c>
      <c r="G239" s="11">
        <f>MAX(0,C239-F239)</f>
        <v/>
      </c>
    </row>
    <row r="240">
      <c r="A240" s="9" t="n">
        <v>218</v>
      </c>
      <c r="B240" s="13" t="n">
        <v>52597</v>
      </c>
      <c r="C240" s="11">
        <f>G239</f>
        <v/>
      </c>
      <c r="D240" s="11">
        <f>$B$4</f>
        <v/>
      </c>
      <c r="E240" s="11">
        <f>MAX(0,C240*$B$5/12)</f>
        <v/>
      </c>
      <c r="F240" s="11">
        <f>MAX(0,MIN(C240,D-E240))</f>
        <v/>
      </c>
      <c r="G240" s="11">
        <f>MAX(0,C240-F240)</f>
        <v/>
      </c>
    </row>
    <row r="241">
      <c r="A241" s="9" t="n">
        <v>219</v>
      </c>
      <c r="B241" s="13" t="n">
        <v>52628</v>
      </c>
      <c r="C241" s="11">
        <f>G240</f>
        <v/>
      </c>
      <c r="D241" s="11">
        <f>$B$4</f>
        <v/>
      </c>
      <c r="E241" s="11">
        <f>MAX(0,C241*$B$5/12)</f>
        <v/>
      </c>
      <c r="F241" s="11">
        <f>MAX(0,MIN(C241,D-E241))</f>
        <v/>
      </c>
      <c r="G241" s="11">
        <f>MAX(0,C241-F241)</f>
        <v/>
      </c>
    </row>
    <row r="242">
      <c r="A242" s="9" t="n">
        <v>220</v>
      </c>
      <c r="B242" s="13" t="n">
        <v>52657</v>
      </c>
      <c r="C242" s="11">
        <f>G241</f>
        <v/>
      </c>
      <c r="D242" s="11">
        <f>$B$4</f>
        <v/>
      </c>
      <c r="E242" s="11">
        <f>MAX(0,C242*$B$5/12)</f>
        <v/>
      </c>
      <c r="F242" s="11">
        <f>MAX(0,MIN(C242,D-E242))</f>
        <v/>
      </c>
      <c r="G242" s="11">
        <f>MAX(0,C242-F242)</f>
        <v/>
      </c>
    </row>
    <row r="243">
      <c r="A243" s="9" t="n">
        <v>221</v>
      </c>
      <c r="B243" s="13" t="n">
        <v>52688</v>
      </c>
      <c r="C243" s="11">
        <f>G242</f>
        <v/>
      </c>
      <c r="D243" s="11">
        <f>$B$4</f>
        <v/>
      </c>
      <c r="E243" s="11">
        <f>MAX(0,C243*$B$5/12)</f>
        <v/>
      </c>
      <c r="F243" s="11">
        <f>MAX(0,MIN(C243,D-E243))</f>
        <v/>
      </c>
      <c r="G243" s="11">
        <f>MAX(0,C243-F243)</f>
        <v/>
      </c>
    </row>
    <row r="244">
      <c r="A244" s="9" t="n">
        <v>222</v>
      </c>
      <c r="B244" s="13" t="n">
        <v>52718</v>
      </c>
      <c r="C244" s="11">
        <f>G243</f>
        <v/>
      </c>
      <c r="D244" s="11">
        <f>$B$4</f>
        <v/>
      </c>
      <c r="E244" s="11">
        <f>MAX(0,C244*$B$5/12)</f>
        <v/>
      </c>
      <c r="F244" s="11">
        <f>MAX(0,MIN(C244,D-E244))</f>
        <v/>
      </c>
      <c r="G244" s="11">
        <f>MAX(0,C244-F244)</f>
        <v/>
      </c>
    </row>
    <row r="245">
      <c r="A245" s="9" t="n">
        <v>223</v>
      </c>
      <c r="B245" s="13" t="n">
        <v>52749</v>
      </c>
      <c r="C245" s="11">
        <f>G244</f>
        <v/>
      </c>
      <c r="D245" s="11">
        <f>$B$4</f>
        <v/>
      </c>
      <c r="E245" s="11">
        <f>MAX(0,C245*$B$5/12)</f>
        <v/>
      </c>
      <c r="F245" s="11">
        <f>MAX(0,MIN(C245,D-E245))</f>
        <v/>
      </c>
      <c r="G245" s="11">
        <f>MAX(0,C245-F245)</f>
        <v/>
      </c>
    </row>
    <row r="246">
      <c r="A246" s="9" t="n">
        <v>224</v>
      </c>
      <c r="B246" s="13" t="n">
        <v>52779</v>
      </c>
      <c r="C246" s="11">
        <f>G245</f>
        <v/>
      </c>
      <c r="D246" s="11">
        <f>$B$4</f>
        <v/>
      </c>
      <c r="E246" s="11">
        <f>MAX(0,C246*$B$5/12)</f>
        <v/>
      </c>
      <c r="F246" s="11">
        <f>MAX(0,MIN(C246,D-E246))</f>
        <v/>
      </c>
      <c r="G246" s="11">
        <f>MAX(0,C246-F246)</f>
        <v/>
      </c>
    </row>
    <row r="247">
      <c r="A247" s="9" t="n">
        <v>225</v>
      </c>
      <c r="B247" s="13" t="n">
        <v>52810</v>
      </c>
      <c r="C247" s="11">
        <f>G246</f>
        <v/>
      </c>
      <c r="D247" s="11">
        <f>$B$4</f>
        <v/>
      </c>
      <c r="E247" s="11">
        <f>MAX(0,C247*$B$5/12)</f>
        <v/>
      </c>
      <c r="F247" s="11">
        <f>MAX(0,MIN(C247,D-E247))</f>
        <v/>
      </c>
      <c r="G247" s="11">
        <f>MAX(0,C247-F247)</f>
        <v/>
      </c>
    </row>
    <row r="248">
      <c r="A248" s="9" t="n">
        <v>226</v>
      </c>
      <c r="B248" s="13" t="n">
        <v>52841</v>
      </c>
      <c r="C248" s="11">
        <f>G247</f>
        <v/>
      </c>
      <c r="D248" s="11">
        <f>$B$4</f>
        <v/>
      </c>
      <c r="E248" s="11">
        <f>MAX(0,C248*$B$5/12)</f>
        <v/>
      </c>
      <c r="F248" s="11">
        <f>MAX(0,MIN(C248,D-E248))</f>
        <v/>
      </c>
      <c r="G248" s="11">
        <f>MAX(0,C248-F248)</f>
        <v/>
      </c>
    </row>
    <row r="249">
      <c r="A249" s="9" t="n">
        <v>227</v>
      </c>
      <c r="B249" s="13" t="n">
        <v>52871</v>
      </c>
      <c r="C249" s="11">
        <f>G248</f>
        <v/>
      </c>
      <c r="D249" s="11">
        <f>$B$4</f>
        <v/>
      </c>
      <c r="E249" s="11">
        <f>MAX(0,C249*$B$5/12)</f>
        <v/>
      </c>
      <c r="F249" s="11">
        <f>MAX(0,MIN(C249,D-E249))</f>
        <v/>
      </c>
      <c r="G249" s="11">
        <f>MAX(0,C249-F249)</f>
        <v/>
      </c>
    </row>
    <row r="250">
      <c r="A250" s="9" t="n">
        <v>228</v>
      </c>
      <c r="B250" s="13" t="n">
        <v>52902</v>
      </c>
      <c r="C250" s="11">
        <f>G249</f>
        <v/>
      </c>
      <c r="D250" s="11">
        <f>$B$4</f>
        <v/>
      </c>
      <c r="E250" s="11">
        <f>MAX(0,C250*$B$5/12)</f>
        <v/>
      </c>
      <c r="F250" s="11">
        <f>MAX(0,MIN(C250,D-E250))</f>
        <v/>
      </c>
      <c r="G250" s="11">
        <f>MAX(0,C250-F250)</f>
        <v/>
      </c>
    </row>
    <row r="251">
      <c r="A251" s="9" t="n">
        <v>229</v>
      </c>
      <c r="B251" s="13" t="n">
        <v>52932</v>
      </c>
      <c r="C251" s="11">
        <f>G250</f>
        <v/>
      </c>
      <c r="D251" s="11">
        <f>$B$4</f>
        <v/>
      </c>
      <c r="E251" s="11">
        <f>MAX(0,C251*$B$5/12)</f>
        <v/>
      </c>
      <c r="F251" s="11">
        <f>MAX(0,MIN(C251,D-E251))</f>
        <v/>
      </c>
      <c r="G251" s="11">
        <f>MAX(0,C251-F251)</f>
        <v/>
      </c>
    </row>
    <row r="252">
      <c r="A252" s="9" t="n">
        <v>230</v>
      </c>
      <c r="B252" s="13" t="n">
        <v>52963</v>
      </c>
      <c r="C252" s="11">
        <f>G251</f>
        <v/>
      </c>
      <c r="D252" s="11">
        <f>$B$4</f>
        <v/>
      </c>
      <c r="E252" s="11">
        <f>MAX(0,C252*$B$5/12)</f>
        <v/>
      </c>
      <c r="F252" s="11">
        <f>MAX(0,MIN(C252,D-E252))</f>
        <v/>
      </c>
      <c r="G252" s="11">
        <f>MAX(0,C252-F252)</f>
        <v/>
      </c>
    </row>
    <row r="253">
      <c r="A253" s="9" t="n">
        <v>231</v>
      </c>
      <c r="B253" s="13" t="n">
        <v>52994</v>
      </c>
      <c r="C253" s="11">
        <f>G252</f>
        <v/>
      </c>
      <c r="D253" s="11">
        <f>$B$4</f>
        <v/>
      </c>
      <c r="E253" s="11">
        <f>MAX(0,C253*$B$5/12)</f>
        <v/>
      </c>
      <c r="F253" s="11">
        <f>MAX(0,MIN(C253,D-E253))</f>
        <v/>
      </c>
      <c r="G253" s="11">
        <f>MAX(0,C253-F253)</f>
        <v/>
      </c>
    </row>
    <row r="254">
      <c r="A254" s="9" t="n">
        <v>232</v>
      </c>
      <c r="B254" s="13" t="n">
        <v>53022</v>
      </c>
      <c r="C254" s="11">
        <f>G253</f>
        <v/>
      </c>
      <c r="D254" s="11">
        <f>$B$4</f>
        <v/>
      </c>
      <c r="E254" s="11">
        <f>MAX(0,C254*$B$5/12)</f>
        <v/>
      </c>
      <c r="F254" s="11">
        <f>MAX(0,MIN(C254,D-E254))</f>
        <v/>
      </c>
      <c r="G254" s="11">
        <f>MAX(0,C254-F254)</f>
        <v/>
      </c>
    </row>
    <row r="255">
      <c r="A255" s="9" t="n">
        <v>233</v>
      </c>
      <c r="B255" s="13" t="n">
        <v>53053</v>
      </c>
      <c r="C255" s="11">
        <f>G254</f>
        <v/>
      </c>
      <c r="D255" s="11">
        <f>$B$4</f>
        <v/>
      </c>
      <c r="E255" s="11">
        <f>MAX(0,C255*$B$5/12)</f>
        <v/>
      </c>
      <c r="F255" s="11">
        <f>MAX(0,MIN(C255,D-E255))</f>
        <v/>
      </c>
      <c r="G255" s="11">
        <f>MAX(0,C255-F255)</f>
        <v/>
      </c>
    </row>
    <row r="256">
      <c r="A256" s="9" t="n">
        <v>234</v>
      </c>
      <c r="B256" s="13" t="n">
        <v>53083</v>
      </c>
      <c r="C256" s="11">
        <f>G255</f>
        <v/>
      </c>
      <c r="D256" s="11">
        <f>$B$4</f>
        <v/>
      </c>
      <c r="E256" s="11">
        <f>MAX(0,C256*$B$5/12)</f>
        <v/>
      </c>
      <c r="F256" s="11">
        <f>MAX(0,MIN(C256,D-E256))</f>
        <v/>
      </c>
      <c r="G256" s="11">
        <f>MAX(0,C256-F256)</f>
        <v/>
      </c>
    </row>
    <row r="257">
      <c r="A257" s="9" t="n">
        <v>235</v>
      </c>
      <c r="B257" s="13" t="n">
        <v>53114</v>
      </c>
      <c r="C257" s="11">
        <f>G256</f>
        <v/>
      </c>
      <c r="D257" s="11">
        <f>$B$4</f>
        <v/>
      </c>
      <c r="E257" s="11">
        <f>MAX(0,C257*$B$5/12)</f>
        <v/>
      </c>
      <c r="F257" s="11">
        <f>MAX(0,MIN(C257,D-E257))</f>
        <v/>
      </c>
      <c r="G257" s="11">
        <f>MAX(0,C257-F257)</f>
        <v/>
      </c>
    </row>
    <row r="258">
      <c r="A258" s="9" t="n">
        <v>236</v>
      </c>
      <c r="B258" s="13" t="n">
        <v>53144</v>
      </c>
      <c r="C258" s="11">
        <f>G257</f>
        <v/>
      </c>
      <c r="D258" s="11">
        <f>$B$4</f>
        <v/>
      </c>
      <c r="E258" s="11">
        <f>MAX(0,C258*$B$5/12)</f>
        <v/>
      </c>
      <c r="F258" s="11">
        <f>MAX(0,MIN(C258,D-E258))</f>
        <v/>
      </c>
      <c r="G258" s="11">
        <f>MAX(0,C258-F258)</f>
        <v/>
      </c>
    </row>
    <row r="259">
      <c r="A259" s="9" t="n">
        <v>237</v>
      </c>
      <c r="B259" s="13" t="n">
        <v>53175</v>
      </c>
      <c r="C259" s="11">
        <f>G258</f>
        <v/>
      </c>
      <c r="D259" s="11">
        <f>$B$4</f>
        <v/>
      </c>
      <c r="E259" s="11">
        <f>MAX(0,C259*$B$5/12)</f>
        <v/>
      </c>
      <c r="F259" s="11">
        <f>MAX(0,MIN(C259,D-E259))</f>
        <v/>
      </c>
      <c r="G259" s="11">
        <f>MAX(0,C259-F259)</f>
        <v/>
      </c>
    </row>
    <row r="260">
      <c r="A260" s="9" t="n">
        <v>238</v>
      </c>
      <c r="B260" s="13" t="n">
        <v>53206</v>
      </c>
      <c r="C260" s="11">
        <f>G259</f>
        <v/>
      </c>
      <c r="D260" s="11">
        <f>$B$4</f>
        <v/>
      </c>
      <c r="E260" s="11">
        <f>MAX(0,C260*$B$5/12)</f>
        <v/>
      </c>
      <c r="F260" s="11">
        <f>MAX(0,MIN(C260,D-E260))</f>
        <v/>
      </c>
      <c r="G260" s="11">
        <f>MAX(0,C260-F260)</f>
        <v/>
      </c>
    </row>
    <row r="261">
      <c r="A261" s="9" t="n">
        <v>239</v>
      </c>
      <c r="B261" s="13" t="n">
        <v>53236</v>
      </c>
      <c r="C261" s="11">
        <f>G260</f>
        <v/>
      </c>
      <c r="D261" s="11">
        <f>$B$4</f>
        <v/>
      </c>
      <c r="E261" s="11">
        <f>MAX(0,C261*$B$5/12)</f>
        <v/>
      </c>
      <c r="F261" s="11">
        <f>MAX(0,MIN(C261,D-E261))</f>
        <v/>
      </c>
      <c r="G261" s="11">
        <f>MAX(0,C261-F261)</f>
        <v/>
      </c>
    </row>
    <row r="262">
      <c r="A262" s="9" t="n">
        <v>240</v>
      </c>
      <c r="B262" s="13" t="n">
        <v>53267</v>
      </c>
      <c r="C262" s="11">
        <f>G261</f>
        <v/>
      </c>
      <c r="D262" s="11">
        <f>$B$4</f>
        <v/>
      </c>
      <c r="E262" s="11">
        <f>MAX(0,C262*$B$5/12)</f>
        <v/>
      </c>
      <c r="F262" s="11">
        <f>MAX(0,MIN(C262,D-E262))</f>
        <v/>
      </c>
      <c r="G262" s="11">
        <f>MAX(0,C262-F262)</f>
        <v/>
      </c>
    </row>
    <row r="263">
      <c r="A263" s="9" t="n">
        <v>241</v>
      </c>
      <c r="B263" s="13" t="n">
        <v>53297</v>
      </c>
      <c r="C263" s="11">
        <f>G262</f>
        <v/>
      </c>
      <c r="D263" s="11">
        <f>$B$4</f>
        <v/>
      </c>
      <c r="E263" s="11">
        <f>MAX(0,C263*$B$5/12)</f>
        <v/>
      </c>
      <c r="F263" s="11">
        <f>MAX(0,MIN(C263,D-E263))</f>
        <v/>
      </c>
      <c r="G263" s="11">
        <f>MAX(0,C263-F263)</f>
        <v/>
      </c>
    </row>
    <row r="264">
      <c r="A264" s="9" t="n">
        <v>242</v>
      </c>
      <c r="B264" s="13" t="n">
        <v>53328</v>
      </c>
      <c r="C264" s="11">
        <f>G263</f>
        <v/>
      </c>
      <c r="D264" s="11">
        <f>$B$4</f>
        <v/>
      </c>
      <c r="E264" s="11">
        <f>MAX(0,C264*$B$5/12)</f>
        <v/>
      </c>
      <c r="F264" s="11">
        <f>MAX(0,MIN(C264,D-E264))</f>
        <v/>
      </c>
      <c r="G264" s="11">
        <f>MAX(0,C264-F264)</f>
        <v/>
      </c>
    </row>
    <row r="265">
      <c r="A265" s="9" t="n">
        <v>243</v>
      </c>
      <c r="B265" s="13" t="n">
        <v>53359</v>
      </c>
      <c r="C265" s="11">
        <f>G264</f>
        <v/>
      </c>
      <c r="D265" s="11">
        <f>$B$4</f>
        <v/>
      </c>
      <c r="E265" s="11">
        <f>MAX(0,C265*$B$5/12)</f>
        <v/>
      </c>
      <c r="F265" s="11">
        <f>MAX(0,MIN(C265,D-E265))</f>
        <v/>
      </c>
      <c r="G265" s="11">
        <f>MAX(0,C265-F265)</f>
        <v/>
      </c>
    </row>
    <row r="266">
      <c r="A266" s="9" t="n">
        <v>244</v>
      </c>
      <c r="B266" s="13" t="n">
        <v>53387</v>
      </c>
      <c r="C266" s="11">
        <f>G265</f>
        <v/>
      </c>
      <c r="D266" s="11">
        <f>$B$4</f>
        <v/>
      </c>
      <c r="E266" s="11">
        <f>MAX(0,C266*$B$5/12)</f>
        <v/>
      </c>
      <c r="F266" s="11">
        <f>MAX(0,MIN(C266,D-E266))</f>
        <v/>
      </c>
      <c r="G266" s="11">
        <f>MAX(0,C266-F266)</f>
        <v/>
      </c>
    </row>
    <row r="267">
      <c r="A267" s="9" t="n">
        <v>245</v>
      </c>
      <c r="B267" s="13" t="n">
        <v>53418</v>
      </c>
      <c r="C267" s="11">
        <f>G266</f>
        <v/>
      </c>
      <c r="D267" s="11">
        <f>$B$4</f>
        <v/>
      </c>
      <c r="E267" s="11">
        <f>MAX(0,C267*$B$5/12)</f>
        <v/>
      </c>
      <c r="F267" s="11">
        <f>MAX(0,MIN(C267,D-E267))</f>
        <v/>
      </c>
      <c r="G267" s="11">
        <f>MAX(0,C267-F267)</f>
        <v/>
      </c>
    </row>
  </sheetData>
  <mergeCells count="9">
    <mergeCell ref="A13:G13"/>
    <mergeCell ref="A14:G14"/>
    <mergeCell ref="A1:G1"/>
    <mergeCell ref="A17:G17"/>
    <mergeCell ref="A18:G18"/>
    <mergeCell ref="A12:G12"/>
    <mergeCell ref="A16:G16"/>
    <mergeCell ref="A15:G15"/>
    <mergeCell ref="A7:G7"/>
  </mergeCell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tabColor rgb="00808080"/>
    <outlinePr summaryBelow="1" summaryRight="1"/>
    <pageSetUpPr/>
  </sheetPr>
  <dimension ref="A1:G197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22" customWidth="1" min="3" max="3"/>
    <col width="14" customWidth="1" min="4" max="4"/>
    <col width="14" customWidth="1" min="5" max="5"/>
    <col width="18" customWidth="1" min="6" max="6"/>
    <col width="14" customWidth="1" min="7" max="7"/>
  </cols>
  <sheetData>
    <row r="1">
      <c r="A1" s="14" t="inlineStr">
        <is>
          <t>INTERNATIONAL FINANCIAL SERVICES - LOAN DETAIL</t>
        </is>
      </c>
    </row>
    <row r="3">
      <c r="A3" s="15" t="inlineStr">
        <is>
          <t>LENDER SUMMARY</t>
        </is>
      </c>
    </row>
    <row r="5">
      <c r="B5" t="inlineStr">
        <is>
          <t>Lender</t>
        </is>
      </c>
      <c r="C5" s="2" t="inlineStr">
        <is>
          <t>International Financial Services</t>
        </is>
      </c>
    </row>
    <row r="6">
      <c r="B6" t="inlineStr">
        <is>
          <t>Number of Loans</t>
        </is>
      </c>
      <c r="C6" s="2" t="n">
        <v>2</v>
      </c>
    </row>
    <row r="7">
      <c r="B7" t="inlineStr">
        <is>
          <t>Total Balance (Nov 2025)</t>
        </is>
      </c>
      <c r="C7" s="3" t="n">
        <v>1777514</v>
      </c>
    </row>
    <row r="8">
      <c r="B8" t="inlineStr">
        <is>
          <t>Total Monthly Payment</t>
        </is>
      </c>
      <c r="C8" s="3" t="n">
        <v>31225.38</v>
      </c>
    </row>
    <row r="9">
      <c r="B9" t="inlineStr">
        <is>
          <t>Source Document</t>
        </is>
      </c>
      <c r="C9" s="2" t="inlineStr">
        <is>
          <t>data/loans.md</t>
        </is>
      </c>
    </row>
    <row r="10">
      <c r="B10" t="inlineStr">
        <is>
          <t>As of Date</t>
        </is>
      </c>
      <c r="C10" s="16" t="n">
        <v>45991</v>
      </c>
    </row>
    <row r="13">
      <c r="A13" s="15" t="inlineStr">
        <is>
          <t>LOAN 1: 8 International Trucks 801-808</t>
        </is>
      </c>
    </row>
    <row r="15">
      <c r="B15" t="inlineStr">
        <is>
          <t>Loan ID</t>
        </is>
      </c>
      <c r="C15" s="2" t="inlineStr">
        <is>
          <t>05-2988-000-000-00</t>
        </is>
      </c>
    </row>
    <row r="16">
      <c r="B16" t="inlineStr">
        <is>
          <t>Account Number</t>
        </is>
      </c>
      <c r="C16" s="2" t="inlineStr">
        <is>
          <t>36007320001</t>
        </is>
      </c>
    </row>
    <row r="17">
      <c r="B17" t="inlineStr">
        <is>
          <t>Origination Date</t>
        </is>
      </c>
      <c r="C17" s="16" t="n">
        <v>45849</v>
      </c>
    </row>
    <row r="18">
      <c r="B18" t="inlineStr">
        <is>
          <t>Opening Balance (Original)</t>
        </is>
      </c>
      <c r="C18" s="3" t="n">
        <v>1512353.32</v>
      </c>
    </row>
    <row r="19">
      <c r="B19" t="inlineStr">
        <is>
          <t>Remaining Balance (Nov 2025)</t>
        </is>
      </c>
      <c r="C19" s="3" t="n">
        <v>1449767</v>
      </c>
    </row>
    <row r="20">
      <c r="B20" t="inlineStr">
        <is>
          <t>Annual Interest Rate</t>
        </is>
      </c>
      <c r="C20" s="4" t="n">
        <v>0.0799</v>
      </c>
    </row>
    <row r="21">
      <c r="B21" t="inlineStr">
        <is>
          <t>Monthly Payment</t>
        </is>
      </c>
      <c r="C21" s="3" t="n">
        <v>25670.35</v>
      </c>
    </row>
    <row r="22">
      <c r="B22" t="inlineStr">
        <is>
          <t>Loan Type</t>
        </is>
      </c>
      <c r="C22" s="2" t="inlineStr">
        <is>
          <t>AMORTIZING</t>
        </is>
      </c>
    </row>
    <row r="23">
      <c r="B23" t="inlineStr">
        <is>
          <t>Use / Collateral</t>
        </is>
      </c>
      <c r="C23" s="2" t="inlineStr">
        <is>
          <t>Equipment (International Trucks 801-808)</t>
        </is>
      </c>
    </row>
    <row r="25">
      <c r="A25" s="17" t="inlineStr">
        <is>
          <t>AI ANALYSIS</t>
        </is>
      </c>
    </row>
    <row r="26">
      <c r="B26" t="inlineStr">
        <is>
          <t>Classification</t>
        </is>
      </c>
      <c r="C26" s="6" t="inlineStr">
        <is>
          <t>AMORTIZING - Standard P&amp;I loan</t>
        </is>
      </c>
    </row>
    <row r="27">
      <c r="B27" t="inlineStr">
        <is>
          <t>Amortization Method</t>
        </is>
      </c>
      <c r="C27" s="6" t="inlineStr">
        <is>
          <t>Monthly principal + interest payments</t>
        </is>
      </c>
    </row>
    <row r="28">
      <c r="B28" t="inlineStr">
        <is>
          <t>Interest Calculation</t>
        </is>
      </c>
      <c r="C28" s="6" t="inlineStr">
        <is>
          <t>Interest = Opening Balance * (Annual Rate / 12)</t>
        </is>
      </c>
    </row>
    <row r="29">
      <c r="B29" t="inlineStr">
        <is>
          <t>Principal Calculation</t>
        </is>
      </c>
      <c r="C29" s="6" t="inlineStr">
        <is>
          <t>Principal = Payment - Interest</t>
        </is>
      </c>
    </row>
    <row r="30">
      <c r="B30" t="inlineStr">
        <is>
          <t>Notes</t>
        </is>
      </c>
      <c r="C30" s="6" t="inlineStr">
        <is>
          <t>Equipment loan secured by 8 International trucks (units 801-808)</t>
        </is>
      </c>
    </row>
    <row r="33">
      <c r="A33" s="18" t="inlineStr">
        <is>
          <t>Month #</t>
        </is>
      </c>
      <c r="B33" s="18" t="inlineStr">
        <is>
          <t>Date</t>
        </is>
      </c>
      <c r="C33" s="18" t="inlineStr">
        <is>
          <t>Opening Balance</t>
        </is>
      </c>
      <c r="D33" s="18" t="inlineStr">
        <is>
          <t>Interest</t>
        </is>
      </c>
      <c r="E33" s="18" t="inlineStr">
        <is>
          <t>Principal</t>
        </is>
      </c>
      <c r="F33" s="18" t="inlineStr">
        <is>
          <t>Closing Balance</t>
        </is>
      </c>
    </row>
    <row r="34">
      <c r="A34" t="n">
        <v>1</v>
      </c>
      <c r="B34" s="12" t="n">
        <v>45992</v>
      </c>
      <c r="C34" s="19">
        <f>$C$19</f>
        <v/>
      </c>
      <c r="D34" s="19">
        <f>MAX(0,C34*$C$20/12)</f>
        <v/>
      </c>
      <c r="E34" s="19">
        <f>MAX(0,MIN(C34,$C$21-D34))</f>
        <v/>
      </c>
      <c r="F34" s="19">
        <f>MAX(0,C34-E34)</f>
        <v/>
      </c>
    </row>
    <row r="35">
      <c r="A35" t="n">
        <v>2</v>
      </c>
      <c r="B35" s="12" t="n">
        <v>46023</v>
      </c>
      <c r="C35" s="19">
        <f>F34</f>
        <v/>
      </c>
      <c r="D35" s="19">
        <f>MAX(0,C35*$C$20/12)</f>
        <v/>
      </c>
      <c r="E35" s="19">
        <f>MAX(0,MIN(C35,$C$21-D35))</f>
        <v/>
      </c>
      <c r="F35" s="19">
        <f>MAX(0,C35-E35)</f>
        <v/>
      </c>
    </row>
    <row r="36">
      <c r="A36" t="n">
        <v>3</v>
      </c>
      <c r="B36" s="12" t="n">
        <v>46054</v>
      </c>
      <c r="C36" s="19">
        <f>F35</f>
        <v/>
      </c>
      <c r="D36" s="19">
        <f>MAX(0,C36*$C$20/12)</f>
        <v/>
      </c>
      <c r="E36" s="19">
        <f>MAX(0,MIN(C36,$C$21-D36))</f>
        <v/>
      </c>
      <c r="F36" s="19">
        <f>MAX(0,C36-E36)</f>
        <v/>
      </c>
    </row>
    <row r="37">
      <c r="A37" t="n">
        <v>4</v>
      </c>
      <c r="B37" s="12" t="n">
        <v>46082</v>
      </c>
      <c r="C37" s="19">
        <f>F36</f>
        <v/>
      </c>
      <c r="D37" s="19">
        <f>MAX(0,C37*$C$20/12)</f>
        <v/>
      </c>
      <c r="E37" s="19">
        <f>MAX(0,MIN(C37,$C$21-D37))</f>
        <v/>
      </c>
      <c r="F37" s="19">
        <f>MAX(0,C37-E37)</f>
        <v/>
      </c>
    </row>
    <row r="38">
      <c r="A38" t="n">
        <v>5</v>
      </c>
      <c r="B38" s="12" t="n">
        <v>46113</v>
      </c>
      <c r="C38" s="19">
        <f>F37</f>
        <v/>
      </c>
      <c r="D38" s="19">
        <f>MAX(0,C38*$C$20/12)</f>
        <v/>
      </c>
      <c r="E38" s="19">
        <f>MAX(0,MIN(C38,$C$21-D38))</f>
        <v/>
      </c>
      <c r="F38" s="19">
        <f>MAX(0,C38-E38)</f>
        <v/>
      </c>
    </row>
    <row r="39">
      <c r="A39" t="n">
        <v>6</v>
      </c>
      <c r="B39" s="12" t="n">
        <v>46143</v>
      </c>
      <c r="C39" s="19">
        <f>F38</f>
        <v/>
      </c>
      <c r="D39" s="19">
        <f>MAX(0,C39*$C$20/12)</f>
        <v/>
      </c>
      <c r="E39" s="19">
        <f>MAX(0,MIN(C39,$C$21-D39))</f>
        <v/>
      </c>
      <c r="F39" s="19">
        <f>MAX(0,C39-E39)</f>
        <v/>
      </c>
    </row>
    <row r="40">
      <c r="A40" t="n">
        <v>7</v>
      </c>
      <c r="B40" s="12" t="n">
        <v>46174</v>
      </c>
      <c r="C40" s="19">
        <f>F39</f>
        <v/>
      </c>
      <c r="D40" s="19">
        <f>MAX(0,C40*$C$20/12)</f>
        <v/>
      </c>
      <c r="E40" s="19">
        <f>MAX(0,MIN(C40,$C$21-D40))</f>
        <v/>
      </c>
      <c r="F40" s="19">
        <f>MAX(0,C40-E40)</f>
        <v/>
      </c>
    </row>
    <row r="41">
      <c r="A41" t="n">
        <v>8</v>
      </c>
      <c r="B41" s="12" t="n">
        <v>46204</v>
      </c>
      <c r="C41" s="19">
        <f>F40</f>
        <v/>
      </c>
      <c r="D41" s="19">
        <f>MAX(0,C41*$C$20/12)</f>
        <v/>
      </c>
      <c r="E41" s="19">
        <f>MAX(0,MIN(C41,$C$21-D41))</f>
        <v/>
      </c>
      <c r="F41" s="19">
        <f>MAX(0,C41-E41)</f>
        <v/>
      </c>
    </row>
    <row r="42">
      <c r="A42" t="n">
        <v>9</v>
      </c>
      <c r="B42" s="12" t="n">
        <v>46235</v>
      </c>
      <c r="C42" s="19">
        <f>F41</f>
        <v/>
      </c>
      <c r="D42" s="19">
        <f>MAX(0,C42*$C$20/12)</f>
        <v/>
      </c>
      <c r="E42" s="19">
        <f>MAX(0,MIN(C42,$C$21-D42))</f>
        <v/>
      </c>
      <c r="F42" s="19">
        <f>MAX(0,C42-E42)</f>
        <v/>
      </c>
    </row>
    <row r="43">
      <c r="A43" t="n">
        <v>10</v>
      </c>
      <c r="B43" s="12" t="n">
        <v>46266</v>
      </c>
      <c r="C43" s="19">
        <f>F42</f>
        <v/>
      </c>
      <c r="D43" s="19">
        <f>MAX(0,C43*$C$20/12)</f>
        <v/>
      </c>
      <c r="E43" s="19">
        <f>MAX(0,MIN(C43,$C$21-D43))</f>
        <v/>
      </c>
      <c r="F43" s="19">
        <f>MAX(0,C43-E43)</f>
        <v/>
      </c>
    </row>
    <row r="44">
      <c r="A44" t="n">
        <v>11</v>
      </c>
      <c r="B44" s="12" t="n">
        <v>46296</v>
      </c>
      <c r="C44" s="19">
        <f>F43</f>
        <v/>
      </c>
      <c r="D44" s="19">
        <f>MAX(0,C44*$C$20/12)</f>
        <v/>
      </c>
      <c r="E44" s="19">
        <f>MAX(0,MIN(C44,$C$21-D44))</f>
        <v/>
      </c>
      <c r="F44" s="19">
        <f>MAX(0,C44-E44)</f>
        <v/>
      </c>
    </row>
    <row r="45">
      <c r="A45" t="n">
        <v>12</v>
      </c>
      <c r="B45" s="12" t="n">
        <v>46327</v>
      </c>
      <c r="C45" s="19">
        <f>F44</f>
        <v/>
      </c>
      <c r="D45" s="19">
        <f>MAX(0,C45*$C$20/12)</f>
        <v/>
      </c>
      <c r="E45" s="19">
        <f>MAX(0,MIN(C45,$C$21-D45))</f>
        <v/>
      </c>
      <c r="F45" s="19">
        <f>MAX(0,C45-E45)</f>
        <v/>
      </c>
    </row>
    <row r="46">
      <c r="A46" t="n">
        <v>13</v>
      </c>
      <c r="B46" s="12" t="n">
        <v>46357</v>
      </c>
      <c r="C46" s="19">
        <f>F45</f>
        <v/>
      </c>
      <c r="D46" s="19">
        <f>MAX(0,C46*$C$20/12)</f>
        <v/>
      </c>
      <c r="E46" s="19">
        <f>MAX(0,MIN(C46,$C$21-D46))</f>
        <v/>
      </c>
      <c r="F46" s="19">
        <f>MAX(0,C46-E46)</f>
        <v/>
      </c>
    </row>
    <row r="47">
      <c r="A47" t="n">
        <v>14</v>
      </c>
      <c r="B47" s="12" t="n">
        <v>46388</v>
      </c>
      <c r="C47" s="19">
        <f>F46</f>
        <v/>
      </c>
      <c r="D47" s="19">
        <f>MAX(0,C47*$C$20/12)</f>
        <v/>
      </c>
      <c r="E47" s="19">
        <f>MAX(0,MIN(C47,$C$21-D47))</f>
        <v/>
      </c>
      <c r="F47" s="19">
        <f>MAX(0,C47-E47)</f>
        <v/>
      </c>
    </row>
    <row r="48">
      <c r="A48" t="n">
        <v>15</v>
      </c>
      <c r="B48" s="12" t="n">
        <v>46419</v>
      </c>
      <c r="C48" s="19">
        <f>F47</f>
        <v/>
      </c>
      <c r="D48" s="19">
        <f>MAX(0,C48*$C$20/12)</f>
        <v/>
      </c>
      <c r="E48" s="19">
        <f>MAX(0,MIN(C48,$C$21-D48))</f>
        <v/>
      </c>
      <c r="F48" s="19">
        <f>MAX(0,C48-E48)</f>
        <v/>
      </c>
    </row>
    <row r="49">
      <c r="A49" t="n">
        <v>16</v>
      </c>
      <c r="B49" s="12" t="n">
        <v>46447</v>
      </c>
      <c r="C49" s="19">
        <f>F48</f>
        <v/>
      </c>
      <c r="D49" s="19">
        <f>MAX(0,C49*$C$20/12)</f>
        <v/>
      </c>
      <c r="E49" s="19">
        <f>MAX(0,MIN(C49,$C$21-D49))</f>
        <v/>
      </c>
      <c r="F49" s="19">
        <f>MAX(0,C49-E49)</f>
        <v/>
      </c>
    </row>
    <row r="50">
      <c r="A50" t="n">
        <v>17</v>
      </c>
      <c r="B50" s="12" t="n">
        <v>46478</v>
      </c>
      <c r="C50" s="19">
        <f>F49</f>
        <v/>
      </c>
      <c r="D50" s="19">
        <f>MAX(0,C50*$C$20/12)</f>
        <v/>
      </c>
      <c r="E50" s="19">
        <f>MAX(0,MIN(C50,$C$21-D50))</f>
        <v/>
      </c>
      <c r="F50" s="19">
        <f>MAX(0,C50-E50)</f>
        <v/>
      </c>
    </row>
    <row r="51">
      <c r="A51" t="n">
        <v>18</v>
      </c>
      <c r="B51" s="12" t="n">
        <v>46508</v>
      </c>
      <c r="C51" s="19">
        <f>F50</f>
        <v/>
      </c>
      <c r="D51" s="19">
        <f>MAX(0,C51*$C$20/12)</f>
        <v/>
      </c>
      <c r="E51" s="19">
        <f>MAX(0,MIN(C51,$C$21-D51))</f>
        <v/>
      </c>
      <c r="F51" s="19">
        <f>MAX(0,C51-E51)</f>
        <v/>
      </c>
    </row>
    <row r="52">
      <c r="A52" t="n">
        <v>19</v>
      </c>
      <c r="B52" s="12" t="n">
        <v>46539</v>
      </c>
      <c r="C52" s="19">
        <f>F51</f>
        <v/>
      </c>
      <c r="D52" s="19">
        <f>MAX(0,C52*$C$20/12)</f>
        <v/>
      </c>
      <c r="E52" s="19">
        <f>MAX(0,MIN(C52,$C$21-D52))</f>
        <v/>
      </c>
      <c r="F52" s="19">
        <f>MAX(0,C52-E52)</f>
        <v/>
      </c>
    </row>
    <row r="53">
      <c r="A53" t="n">
        <v>20</v>
      </c>
      <c r="B53" s="12" t="n">
        <v>46569</v>
      </c>
      <c r="C53" s="19">
        <f>F52</f>
        <v/>
      </c>
      <c r="D53" s="19">
        <f>MAX(0,C53*$C$20/12)</f>
        <v/>
      </c>
      <c r="E53" s="19">
        <f>MAX(0,MIN(C53,$C$21-D53))</f>
        <v/>
      </c>
      <c r="F53" s="19">
        <f>MAX(0,C53-E53)</f>
        <v/>
      </c>
    </row>
    <row r="54">
      <c r="A54" t="n">
        <v>21</v>
      </c>
      <c r="B54" s="12" t="n">
        <v>46600</v>
      </c>
      <c r="C54" s="19">
        <f>F53</f>
        <v/>
      </c>
      <c r="D54" s="19">
        <f>MAX(0,C54*$C$20/12)</f>
        <v/>
      </c>
      <c r="E54" s="19">
        <f>MAX(0,MIN(C54,$C$21-D54))</f>
        <v/>
      </c>
      <c r="F54" s="19">
        <f>MAX(0,C54-E54)</f>
        <v/>
      </c>
    </row>
    <row r="55">
      <c r="A55" t="n">
        <v>22</v>
      </c>
      <c r="B55" s="12" t="n">
        <v>46631</v>
      </c>
      <c r="C55" s="19">
        <f>F54</f>
        <v/>
      </c>
      <c r="D55" s="19">
        <f>MAX(0,C55*$C$20/12)</f>
        <v/>
      </c>
      <c r="E55" s="19">
        <f>MAX(0,MIN(C55,$C$21-D55))</f>
        <v/>
      </c>
      <c r="F55" s="19">
        <f>MAX(0,C55-E55)</f>
        <v/>
      </c>
    </row>
    <row r="56">
      <c r="A56" t="n">
        <v>23</v>
      </c>
      <c r="B56" s="12" t="n">
        <v>46661</v>
      </c>
      <c r="C56" s="19">
        <f>F55</f>
        <v/>
      </c>
      <c r="D56" s="19">
        <f>MAX(0,C56*$C$20/12)</f>
        <v/>
      </c>
      <c r="E56" s="19">
        <f>MAX(0,MIN(C56,$C$21-D56))</f>
        <v/>
      </c>
      <c r="F56" s="19">
        <f>MAX(0,C56-E56)</f>
        <v/>
      </c>
    </row>
    <row r="57">
      <c r="A57" t="n">
        <v>24</v>
      </c>
      <c r="B57" s="12" t="n">
        <v>46692</v>
      </c>
      <c r="C57" s="19">
        <f>F56</f>
        <v/>
      </c>
      <c r="D57" s="19">
        <f>MAX(0,C57*$C$20/12)</f>
        <v/>
      </c>
      <c r="E57" s="19">
        <f>MAX(0,MIN(C57,$C$21-D57))</f>
        <v/>
      </c>
      <c r="F57" s="19">
        <f>MAX(0,C57-E57)</f>
        <v/>
      </c>
    </row>
    <row r="58">
      <c r="A58" t="n">
        <v>25</v>
      </c>
      <c r="B58" s="12" t="n">
        <v>46722</v>
      </c>
      <c r="C58" s="19">
        <f>F57</f>
        <v/>
      </c>
      <c r="D58" s="19">
        <f>MAX(0,C58*$C$20/12)</f>
        <v/>
      </c>
      <c r="E58" s="19">
        <f>MAX(0,MIN(C58,$C$21-D58))</f>
        <v/>
      </c>
      <c r="F58" s="19">
        <f>MAX(0,C58-E58)</f>
        <v/>
      </c>
    </row>
    <row r="59">
      <c r="A59" t="n">
        <v>26</v>
      </c>
      <c r="B59" s="12" t="n">
        <v>46753</v>
      </c>
      <c r="C59" s="19">
        <f>F58</f>
        <v/>
      </c>
      <c r="D59" s="19">
        <f>MAX(0,C59*$C$20/12)</f>
        <v/>
      </c>
      <c r="E59" s="19">
        <f>MAX(0,MIN(C59,$C$21-D59))</f>
        <v/>
      </c>
      <c r="F59" s="19">
        <f>MAX(0,C59-E59)</f>
        <v/>
      </c>
    </row>
    <row r="60">
      <c r="A60" t="n">
        <v>27</v>
      </c>
      <c r="B60" s="12" t="n">
        <v>46784</v>
      </c>
      <c r="C60" s="19">
        <f>F59</f>
        <v/>
      </c>
      <c r="D60" s="19">
        <f>MAX(0,C60*$C$20/12)</f>
        <v/>
      </c>
      <c r="E60" s="19">
        <f>MAX(0,MIN(C60,$C$21-D60))</f>
        <v/>
      </c>
      <c r="F60" s="19">
        <f>MAX(0,C60-E60)</f>
        <v/>
      </c>
    </row>
    <row r="61">
      <c r="A61" t="n">
        <v>28</v>
      </c>
      <c r="B61" s="12" t="n">
        <v>46813</v>
      </c>
      <c r="C61" s="19">
        <f>F60</f>
        <v/>
      </c>
      <c r="D61" s="19">
        <f>MAX(0,C61*$C$20/12)</f>
        <v/>
      </c>
      <c r="E61" s="19">
        <f>MAX(0,MIN(C61,$C$21-D61))</f>
        <v/>
      </c>
      <c r="F61" s="19">
        <f>MAX(0,C61-E61)</f>
        <v/>
      </c>
    </row>
    <row r="62">
      <c r="A62" t="n">
        <v>29</v>
      </c>
      <c r="B62" s="12" t="n">
        <v>46844</v>
      </c>
      <c r="C62" s="19">
        <f>F61</f>
        <v/>
      </c>
      <c r="D62" s="19">
        <f>MAX(0,C62*$C$20/12)</f>
        <v/>
      </c>
      <c r="E62" s="19">
        <f>MAX(0,MIN(C62,$C$21-D62))</f>
        <v/>
      </c>
      <c r="F62" s="19">
        <f>MAX(0,C62-E62)</f>
        <v/>
      </c>
    </row>
    <row r="63">
      <c r="A63" t="n">
        <v>30</v>
      </c>
      <c r="B63" s="12" t="n">
        <v>46874</v>
      </c>
      <c r="C63" s="19">
        <f>F62</f>
        <v/>
      </c>
      <c r="D63" s="19">
        <f>MAX(0,C63*$C$20/12)</f>
        <v/>
      </c>
      <c r="E63" s="19">
        <f>MAX(0,MIN(C63,$C$21-D63))</f>
        <v/>
      </c>
      <c r="F63" s="19">
        <f>MAX(0,C63-E63)</f>
        <v/>
      </c>
    </row>
    <row r="64">
      <c r="A64" t="n">
        <v>31</v>
      </c>
      <c r="B64" s="12" t="n">
        <v>46905</v>
      </c>
      <c r="C64" s="19">
        <f>F63</f>
        <v/>
      </c>
      <c r="D64" s="19">
        <f>MAX(0,C64*$C$20/12)</f>
        <v/>
      </c>
      <c r="E64" s="19">
        <f>MAX(0,MIN(C64,$C$21-D64))</f>
        <v/>
      </c>
      <c r="F64" s="19">
        <f>MAX(0,C64-E64)</f>
        <v/>
      </c>
    </row>
    <row r="65">
      <c r="A65" t="n">
        <v>32</v>
      </c>
      <c r="B65" s="12" t="n">
        <v>46935</v>
      </c>
      <c r="C65" s="19">
        <f>F64</f>
        <v/>
      </c>
      <c r="D65" s="19">
        <f>MAX(0,C65*$C$20/12)</f>
        <v/>
      </c>
      <c r="E65" s="19">
        <f>MAX(0,MIN(C65,$C$21-D65))</f>
        <v/>
      </c>
      <c r="F65" s="19">
        <f>MAX(0,C65-E65)</f>
        <v/>
      </c>
    </row>
    <row r="66">
      <c r="A66" t="n">
        <v>33</v>
      </c>
      <c r="B66" s="12" t="n">
        <v>46966</v>
      </c>
      <c r="C66" s="19">
        <f>F65</f>
        <v/>
      </c>
      <c r="D66" s="19">
        <f>MAX(0,C66*$C$20/12)</f>
        <v/>
      </c>
      <c r="E66" s="19">
        <f>MAX(0,MIN(C66,$C$21-D66))</f>
        <v/>
      </c>
      <c r="F66" s="19">
        <f>MAX(0,C66-E66)</f>
        <v/>
      </c>
    </row>
    <row r="67">
      <c r="A67" t="n">
        <v>34</v>
      </c>
      <c r="B67" s="12" t="n">
        <v>46997</v>
      </c>
      <c r="C67" s="19">
        <f>F66</f>
        <v/>
      </c>
      <c r="D67" s="19">
        <f>MAX(0,C67*$C$20/12)</f>
        <v/>
      </c>
      <c r="E67" s="19">
        <f>MAX(0,MIN(C67,$C$21-D67))</f>
        <v/>
      </c>
      <c r="F67" s="19">
        <f>MAX(0,C67-E67)</f>
        <v/>
      </c>
    </row>
    <row r="68">
      <c r="A68" t="n">
        <v>35</v>
      </c>
      <c r="B68" s="12" t="n">
        <v>47027</v>
      </c>
      <c r="C68" s="19">
        <f>F67</f>
        <v/>
      </c>
      <c r="D68" s="19">
        <f>MAX(0,C68*$C$20/12)</f>
        <v/>
      </c>
      <c r="E68" s="19">
        <f>MAX(0,MIN(C68,$C$21-D68))</f>
        <v/>
      </c>
      <c r="F68" s="19">
        <f>MAX(0,C68-E68)</f>
        <v/>
      </c>
    </row>
    <row r="69">
      <c r="A69" t="n">
        <v>36</v>
      </c>
      <c r="B69" s="12" t="n">
        <v>47058</v>
      </c>
      <c r="C69" s="19">
        <f>F68</f>
        <v/>
      </c>
      <c r="D69" s="19">
        <f>MAX(0,C69*$C$20/12)</f>
        <v/>
      </c>
      <c r="E69" s="19">
        <f>MAX(0,MIN(C69,$C$21-D69))</f>
        <v/>
      </c>
      <c r="F69" s="19">
        <f>MAX(0,C69-E69)</f>
        <v/>
      </c>
    </row>
    <row r="70">
      <c r="A70" t="n">
        <v>37</v>
      </c>
      <c r="B70" s="12" t="n">
        <v>47088</v>
      </c>
      <c r="C70" s="19">
        <f>F69</f>
        <v/>
      </c>
      <c r="D70" s="19">
        <f>MAX(0,C70*$C$20/12)</f>
        <v/>
      </c>
      <c r="E70" s="19">
        <f>MAX(0,MIN(C70,$C$21-D70))</f>
        <v/>
      </c>
      <c r="F70" s="19">
        <f>MAX(0,C70-E70)</f>
        <v/>
      </c>
    </row>
    <row r="71">
      <c r="A71" t="n">
        <v>38</v>
      </c>
      <c r="B71" s="12" t="n">
        <v>47119</v>
      </c>
      <c r="C71" s="19">
        <f>F70</f>
        <v/>
      </c>
      <c r="D71" s="19">
        <f>MAX(0,C71*$C$20/12)</f>
        <v/>
      </c>
      <c r="E71" s="19">
        <f>MAX(0,MIN(C71,$C$21-D71))</f>
        <v/>
      </c>
      <c r="F71" s="19">
        <f>MAX(0,C71-E71)</f>
        <v/>
      </c>
    </row>
    <row r="72">
      <c r="A72" t="n">
        <v>39</v>
      </c>
      <c r="B72" s="12" t="n">
        <v>47150</v>
      </c>
      <c r="C72" s="19">
        <f>F71</f>
        <v/>
      </c>
      <c r="D72" s="19">
        <f>MAX(0,C72*$C$20/12)</f>
        <v/>
      </c>
      <c r="E72" s="19">
        <f>MAX(0,MIN(C72,$C$21-D72))</f>
        <v/>
      </c>
      <c r="F72" s="19">
        <f>MAX(0,C72-E72)</f>
        <v/>
      </c>
    </row>
    <row r="73">
      <c r="A73" t="n">
        <v>40</v>
      </c>
      <c r="B73" s="12" t="n">
        <v>47178</v>
      </c>
      <c r="C73" s="19">
        <f>F72</f>
        <v/>
      </c>
      <c r="D73" s="19">
        <f>MAX(0,C73*$C$20/12)</f>
        <v/>
      </c>
      <c r="E73" s="19">
        <f>MAX(0,MIN(C73,$C$21-D73))</f>
        <v/>
      </c>
      <c r="F73" s="19">
        <f>MAX(0,C73-E73)</f>
        <v/>
      </c>
    </row>
    <row r="74">
      <c r="A74" t="n">
        <v>41</v>
      </c>
      <c r="B74" s="12" t="n">
        <v>47209</v>
      </c>
      <c r="C74" s="19">
        <f>F73</f>
        <v/>
      </c>
      <c r="D74" s="19">
        <f>MAX(0,C74*$C$20/12)</f>
        <v/>
      </c>
      <c r="E74" s="19">
        <f>MAX(0,MIN(C74,$C$21-D74))</f>
        <v/>
      </c>
      <c r="F74" s="19">
        <f>MAX(0,C74-E74)</f>
        <v/>
      </c>
    </row>
    <row r="75">
      <c r="A75" t="n">
        <v>42</v>
      </c>
      <c r="B75" s="12" t="n">
        <v>47239</v>
      </c>
      <c r="C75" s="19">
        <f>F74</f>
        <v/>
      </c>
      <c r="D75" s="19">
        <f>MAX(0,C75*$C$20/12)</f>
        <v/>
      </c>
      <c r="E75" s="19">
        <f>MAX(0,MIN(C75,$C$21-D75))</f>
        <v/>
      </c>
      <c r="F75" s="19">
        <f>MAX(0,C75-E75)</f>
        <v/>
      </c>
    </row>
    <row r="76">
      <c r="A76" t="n">
        <v>43</v>
      </c>
      <c r="B76" s="12" t="n">
        <v>47270</v>
      </c>
      <c r="C76" s="19">
        <f>F75</f>
        <v/>
      </c>
      <c r="D76" s="19">
        <f>MAX(0,C76*$C$20/12)</f>
        <v/>
      </c>
      <c r="E76" s="19">
        <f>MAX(0,MIN(C76,$C$21-D76))</f>
        <v/>
      </c>
      <c r="F76" s="19">
        <f>MAX(0,C76-E76)</f>
        <v/>
      </c>
    </row>
    <row r="77">
      <c r="A77" t="n">
        <v>44</v>
      </c>
      <c r="B77" s="12" t="n">
        <v>47300</v>
      </c>
      <c r="C77" s="19">
        <f>F76</f>
        <v/>
      </c>
      <c r="D77" s="19">
        <f>MAX(0,C77*$C$20/12)</f>
        <v/>
      </c>
      <c r="E77" s="19">
        <f>MAX(0,MIN(C77,$C$21-D77))</f>
        <v/>
      </c>
      <c r="F77" s="19">
        <f>MAX(0,C77-E77)</f>
        <v/>
      </c>
    </row>
    <row r="78">
      <c r="A78" t="n">
        <v>45</v>
      </c>
      <c r="B78" s="12" t="n">
        <v>47331</v>
      </c>
      <c r="C78" s="19">
        <f>F77</f>
        <v/>
      </c>
      <c r="D78" s="19">
        <f>MAX(0,C78*$C$20/12)</f>
        <v/>
      </c>
      <c r="E78" s="19">
        <f>MAX(0,MIN(C78,$C$21-D78))</f>
        <v/>
      </c>
      <c r="F78" s="19">
        <f>MAX(0,C78-E78)</f>
        <v/>
      </c>
    </row>
    <row r="79">
      <c r="A79" t="n">
        <v>46</v>
      </c>
      <c r="B79" s="12" t="n">
        <v>47362</v>
      </c>
      <c r="C79" s="19">
        <f>F78</f>
        <v/>
      </c>
      <c r="D79" s="19">
        <f>MAX(0,C79*$C$20/12)</f>
        <v/>
      </c>
      <c r="E79" s="19">
        <f>MAX(0,MIN(C79,$C$21-D79))</f>
        <v/>
      </c>
      <c r="F79" s="19">
        <f>MAX(0,C79-E79)</f>
        <v/>
      </c>
    </row>
    <row r="80">
      <c r="A80" t="n">
        <v>47</v>
      </c>
      <c r="B80" s="12" t="n">
        <v>47392</v>
      </c>
      <c r="C80" s="19">
        <f>F79</f>
        <v/>
      </c>
      <c r="D80" s="19">
        <f>MAX(0,C80*$C$20/12)</f>
        <v/>
      </c>
      <c r="E80" s="19">
        <f>MAX(0,MIN(C80,$C$21-D80))</f>
        <v/>
      </c>
      <c r="F80" s="19">
        <f>MAX(0,C80-E80)</f>
        <v/>
      </c>
    </row>
    <row r="81">
      <c r="A81" t="n">
        <v>48</v>
      </c>
      <c r="B81" s="12" t="n">
        <v>47423</v>
      </c>
      <c r="C81" s="19">
        <f>F80</f>
        <v/>
      </c>
      <c r="D81" s="19">
        <f>MAX(0,C81*$C$20/12)</f>
        <v/>
      </c>
      <c r="E81" s="19">
        <f>MAX(0,MIN(C81,$C$21-D81))</f>
        <v/>
      </c>
      <c r="F81" s="19">
        <f>MAX(0,C81-E81)</f>
        <v/>
      </c>
    </row>
    <row r="82">
      <c r="A82" t="n">
        <v>49</v>
      </c>
      <c r="B82" s="12" t="n">
        <v>47453</v>
      </c>
      <c r="C82" s="19">
        <f>F81</f>
        <v/>
      </c>
      <c r="D82" s="19">
        <f>MAX(0,C82*$C$20/12)</f>
        <v/>
      </c>
      <c r="E82" s="19">
        <f>MAX(0,MIN(C82,$C$21-D82))</f>
        <v/>
      </c>
      <c r="F82" s="19">
        <f>MAX(0,C82-E82)</f>
        <v/>
      </c>
    </row>
    <row r="83">
      <c r="A83" t="n">
        <v>50</v>
      </c>
      <c r="B83" s="12" t="n">
        <v>47484</v>
      </c>
      <c r="C83" s="19">
        <f>F82</f>
        <v/>
      </c>
      <c r="D83" s="19">
        <f>MAX(0,C83*$C$20/12)</f>
        <v/>
      </c>
      <c r="E83" s="19">
        <f>MAX(0,MIN(C83,$C$21-D83))</f>
        <v/>
      </c>
      <c r="F83" s="19">
        <f>MAX(0,C83-E83)</f>
        <v/>
      </c>
    </row>
    <row r="84">
      <c r="A84" t="n">
        <v>51</v>
      </c>
      <c r="B84" s="12" t="n">
        <v>47515</v>
      </c>
      <c r="C84" s="19">
        <f>F83</f>
        <v/>
      </c>
      <c r="D84" s="19">
        <f>MAX(0,C84*$C$20/12)</f>
        <v/>
      </c>
      <c r="E84" s="19">
        <f>MAX(0,MIN(C84,$C$21-D84))</f>
        <v/>
      </c>
      <c r="F84" s="19">
        <f>MAX(0,C84-E84)</f>
        <v/>
      </c>
    </row>
    <row r="85">
      <c r="A85" t="n">
        <v>52</v>
      </c>
      <c r="B85" s="12" t="n">
        <v>47543</v>
      </c>
      <c r="C85" s="19">
        <f>F84</f>
        <v/>
      </c>
      <c r="D85" s="19">
        <f>MAX(0,C85*$C$20/12)</f>
        <v/>
      </c>
      <c r="E85" s="19">
        <f>MAX(0,MIN(C85,$C$21-D85))</f>
        <v/>
      </c>
      <c r="F85" s="19">
        <f>MAX(0,C85-E85)</f>
        <v/>
      </c>
    </row>
    <row r="86">
      <c r="A86" t="n">
        <v>53</v>
      </c>
      <c r="B86" s="12" t="n">
        <v>47574</v>
      </c>
      <c r="C86" s="19">
        <f>F85</f>
        <v/>
      </c>
      <c r="D86" s="19">
        <f>MAX(0,C86*$C$20/12)</f>
        <v/>
      </c>
      <c r="E86" s="19">
        <f>MAX(0,MIN(C86,$C$21-D86))</f>
        <v/>
      </c>
      <c r="F86" s="19">
        <f>MAX(0,C86-E86)</f>
        <v/>
      </c>
    </row>
    <row r="87">
      <c r="A87" t="n">
        <v>54</v>
      </c>
      <c r="B87" s="12" t="n">
        <v>47604</v>
      </c>
      <c r="C87" s="19">
        <f>F86</f>
        <v/>
      </c>
      <c r="D87" s="19">
        <f>MAX(0,C87*$C$20/12)</f>
        <v/>
      </c>
      <c r="E87" s="19">
        <f>MAX(0,MIN(C87,$C$21-D87))</f>
        <v/>
      </c>
      <c r="F87" s="19">
        <f>MAX(0,C87-E87)</f>
        <v/>
      </c>
    </row>
    <row r="88">
      <c r="A88" t="n">
        <v>55</v>
      </c>
      <c r="B88" s="12" t="n">
        <v>47635</v>
      </c>
      <c r="C88" s="19">
        <f>F87</f>
        <v/>
      </c>
      <c r="D88" s="19">
        <f>MAX(0,C88*$C$20/12)</f>
        <v/>
      </c>
      <c r="E88" s="19">
        <f>MAX(0,MIN(C88,$C$21-D88))</f>
        <v/>
      </c>
      <c r="F88" s="19">
        <f>MAX(0,C88-E88)</f>
        <v/>
      </c>
    </row>
    <row r="89">
      <c r="A89" t="n">
        <v>56</v>
      </c>
      <c r="B89" s="12" t="n">
        <v>47665</v>
      </c>
      <c r="C89" s="19">
        <f>F88</f>
        <v/>
      </c>
      <c r="D89" s="19">
        <f>MAX(0,C89*$C$20/12)</f>
        <v/>
      </c>
      <c r="E89" s="19">
        <f>MAX(0,MIN(C89,$C$21-D89))</f>
        <v/>
      </c>
      <c r="F89" s="19">
        <f>MAX(0,C89-E89)</f>
        <v/>
      </c>
    </row>
    <row r="90">
      <c r="A90" t="n">
        <v>57</v>
      </c>
      <c r="B90" s="12" t="n">
        <v>47696</v>
      </c>
      <c r="C90" s="19">
        <f>F89</f>
        <v/>
      </c>
      <c r="D90" s="19">
        <f>MAX(0,C90*$C$20/12)</f>
        <v/>
      </c>
      <c r="E90" s="19">
        <f>MAX(0,MIN(C90,$C$21-D90))</f>
        <v/>
      </c>
      <c r="F90" s="19">
        <f>MAX(0,C90-E90)</f>
        <v/>
      </c>
    </row>
    <row r="91">
      <c r="A91" t="n">
        <v>58</v>
      </c>
      <c r="B91" s="12" t="n">
        <v>47727</v>
      </c>
      <c r="C91" s="19">
        <f>F90</f>
        <v/>
      </c>
      <c r="D91" s="19">
        <f>MAX(0,C91*$C$20/12)</f>
        <v/>
      </c>
      <c r="E91" s="19">
        <f>MAX(0,MIN(C91,$C$21-D91))</f>
        <v/>
      </c>
      <c r="F91" s="19">
        <f>MAX(0,C91-E91)</f>
        <v/>
      </c>
    </row>
    <row r="92">
      <c r="A92" t="n">
        <v>59</v>
      </c>
      <c r="B92" s="12" t="n">
        <v>47757</v>
      </c>
      <c r="C92" s="19">
        <f>F91</f>
        <v/>
      </c>
      <c r="D92" s="19">
        <f>MAX(0,C92*$C$20/12)</f>
        <v/>
      </c>
      <c r="E92" s="19">
        <f>MAX(0,MIN(C92,$C$21-D92))</f>
        <v/>
      </c>
      <c r="F92" s="19">
        <f>MAX(0,C92-E92)</f>
        <v/>
      </c>
    </row>
    <row r="93">
      <c r="A93" t="n">
        <v>60</v>
      </c>
      <c r="B93" s="12" t="n">
        <v>47788</v>
      </c>
      <c r="C93" s="19">
        <f>F92</f>
        <v/>
      </c>
      <c r="D93" s="19">
        <f>MAX(0,C93*$C$20/12)</f>
        <v/>
      </c>
      <c r="E93" s="19">
        <f>MAX(0,MIN(C93,$C$21-D93))</f>
        <v/>
      </c>
      <c r="F93" s="19">
        <f>MAX(0,C93-E93)</f>
        <v/>
      </c>
    </row>
    <row r="94">
      <c r="A94" t="n">
        <v>61</v>
      </c>
      <c r="B94" s="12" t="n">
        <v>47818</v>
      </c>
      <c r="C94" s="19">
        <f>F93</f>
        <v/>
      </c>
      <c r="D94" s="19">
        <f>MAX(0,C94*$C$20/12)</f>
        <v/>
      </c>
      <c r="E94" s="19">
        <f>MAX(0,MIN(C94,$C$21-D94))</f>
        <v/>
      </c>
      <c r="F94" s="19">
        <f>MAX(0,C94-E94)</f>
        <v/>
      </c>
    </row>
    <row r="95">
      <c r="A95" t="n">
        <v>62</v>
      </c>
      <c r="B95" s="12" t="n">
        <v>47849</v>
      </c>
      <c r="C95" s="19">
        <f>F94</f>
        <v/>
      </c>
      <c r="D95" s="19">
        <f>MAX(0,C95*$C$20/12)</f>
        <v/>
      </c>
      <c r="E95" s="19">
        <f>MAX(0,MIN(C95,$C$21-D95))</f>
        <v/>
      </c>
      <c r="F95" s="19">
        <f>MAX(0,C95-E95)</f>
        <v/>
      </c>
    </row>
    <row r="96">
      <c r="A96" t="n">
        <v>63</v>
      </c>
      <c r="B96" s="12" t="n">
        <v>47880</v>
      </c>
      <c r="C96" s="19">
        <f>F95</f>
        <v/>
      </c>
      <c r="D96" s="19">
        <f>MAX(0,C96*$C$20/12)</f>
        <v/>
      </c>
      <c r="E96" s="19">
        <f>MAX(0,MIN(C96,$C$21-D96))</f>
        <v/>
      </c>
      <c r="F96" s="19">
        <f>MAX(0,C96-E96)</f>
        <v/>
      </c>
    </row>
    <row r="97">
      <c r="A97" t="n">
        <v>64</v>
      </c>
      <c r="B97" s="12" t="n">
        <v>47908</v>
      </c>
      <c r="C97" s="19">
        <f>F96</f>
        <v/>
      </c>
      <c r="D97" s="19">
        <f>MAX(0,C97*$C$20/12)</f>
        <v/>
      </c>
      <c r="E97" s="19">
        <f>MAX(0,MIN(C97,$C$21-D97))</f>
        <v/>
      </c>
      <c r="F97" s="19">
        <f>MAX(0,C97-E97)</f>
        <v/>
      </c>
    </row>
    <row r="98">
      <c r="A98" t="n">
        <v>65</v>
      </c>
      <c r="B98" s="12" t="n">
        <v>47939</v>
      </c>
      <c r="C98" s="19">
        <f>F97</f>
        <v/>
      </c>
      <c r="D98" s="19">
        <f>MAX(0,C98*$C$20/12)</f>
        <v/>
      </c>
      <c r="E98" s="19">
        <f>MAX(0,MIN(C98,$C$21-D98))</f>
        <v/>
      </c>
      <c r="F98" s="19">
        <f>MAX(0,C98-E98)</f>
        <v/>
      </c>
    </row>
    <row r="99">
      <c r="A99" t="n">
        <v>66</v>
      </c>
      <c r="B99" s="12" t="n">
        <v>47969</v>
      </c>
      <c r="C99" s="19">
        <f>F98</f>
        <v/>
      </c>
      <c r="D99" s="19">
        <f>MAX(0,C99*$C$20/12)</f>
        <v/>
      </c>
      <c r="E99" s="19">
        <f>MAX(0,MIN(C99,$C$21-D99))</f>
        <v/>
      </c>
      <c r="F99" s="19">
        <f>MAX(0,C99-E99)</f>
        <v/>
      </c>
    </row>
    <row r="100">
      <c r="A100" t="n">
        <v>67</v>
      </c>
      <c r="B100" s="12" t="n">
        <v>48000</v>
      </c>
      <c r="C100" s="19">
        <f>F99</f>
        <v/>
      </c>
      <c r="D100" s="19">
        <f>MAX(0,C100*$C$20/12)</f>
        <v/>
      </c>
      <c r="E100" s="19">
        <f>MAX(0,MIN(C100,$C$21-D100))</f>
        <v/>
      </c>
      <c r="F100" s="19">
        <f>MAX(0,C100-E100)</f>
        <v/>
      </c>
    </row>
    <row r="101">
      <c r="A101" t="n">
        <v>68</v>
      </c>
      <c r="B101" s="12" t="n">
        <v>48030</v>
      </c>
      <c r="C101" s="19">
        <f>F100</f>
        <v/>
      </c>
      <c r="D101" s="19">
        <f>MAX(0,C101*$C$20/12)</f>
        <v/>
      </c>
      <c r="E101" s="19">
        <f>MAX(0,MIN(C101,$C$21-D101))</f>
        <v/>
      </c>
      <c r="F101" s="19">
        <f>MAX(0,C101-E101)</f>
        <v/>
      </c>
    </row>
    <row r="102">
      <c r="A102" t="n">
        <v>69</v>
      </c>
      <c r="B102" s="12" t="n">
        <v>48061</v>
      </c>
      <c r="C102" s="19">
        <f>F101</f>
        <v/>
      </c>
      <c r="D102" s="19">
        <f>MAX(0,C102*$C$20/12)</f>
        <v/>
      </c>
      <c r="E102" s="19">
        <f>MAX(0,MIN(C102,$C$21-D102))</f>
        <v/>
      </c>
      <c r="F102" s="19">
        <f>MAX(0,C102-E102)</f>
        <v/>
      </c>
    </row>
    <row r="104">
      <c r="B104" s="20" t="inlineStr">
        <is>
          <t>TOTALS</t>
        </is>
      </c>
      <c r="D104" s="21">
        <f>SUM(D34:D102)</f>
        <v/>
      </c>
      <c r="E104" s="21">
        <f>SUM(E34:E102)</f>
        <v/>
      </c>
    </row>
    <row r="107">
      <c r="A107" s="15" t="inlineStr">
        <is>
          <t>LOAN 2: 17 International Trucks Service Contract</t>
        </is>
      </c>
    </row>
    <row r="109">
      <c r="B109" t="inlineStr">
        <is>
          <t>Loan ID</t>
        </is>
      </c>
      <c r="C109" s="2" t="inlineStr">
        <is>
          <t>05-2988-001-000-00</t>
        </is>
      </c>
    </row>
    <row r="110">
      <c r="B110" t="inlineStr">
        <is>
          <t>Account Number</t>
        </is>
      </c>
      <c r="C110" s="2" t="inlineStr">
        <is>
          <t>36007320</t>
        </is>
      </c>
    </row>
    <row r="111">
      <c r="B111" t="inlineStr">
        <is>
          <t>Origination Date</t>
        </is>
      </c>
      <c r="C111" s="16" t="n">
        <v>45964</v>
      </c>
    </row>
    <row r="112">
      <c r="B112" t="inlineStr">
        <is>
          <t>Opening Balance (Original)</t>
        </is>
      </c>
      <c r="C112" s="3" t="n">
        <v>333302</v>
      </c>
    </row>
    <row r="113">
      <c r="B113" t="inlineStr">
        <is>
          <t>Remaining Balance (Nov 2025)</t>
        </is>
      </c>
      <c r="C113" s="3" t="n">
        <v>327747</v>
      </c>
    </row>
    <row r="114">
      <c r="B114" t="inlineStr">
        <is>
          <t>Annual Interest Rate</t>
        </is>
      </c>
      <c r="C114" s="4" t="n">
        <v>0</v>
      </c>
    </row>
    <row r="115">
      <c r="B115" t="inlineStr">
        <is>
          <t>Monthly Payment</t>
        </is>
      </c>
      <c r="C115" s="3" t="n">
        <v>5555.03</v>
      </c>
    </row>
    <row r="116">
      <c r="B116" t="inlineStr">
        <is>
          <t>Loan Type</t>
        </is>
      </c>
      <c r="C116" s="2" t="inlineStr">
        <is>
          <t>ZERO_INTEREST</t>
        </is>
      </c>
    </row>
    <row r="117">
      <c r="B117" t="inlineStr">
        <is>
          <t>Use / Collateral</t>
        </is>
      </c>
      <c r="C117" s="2" t="inlineStr">
        <is>
          <t>Service Contract (International Trucks 809-825)</t>
        </is>
      </c>
    </row>
    <row r="119">
      <c r="A119" s="17" t="inlineStr">
        <is>
          <t>AI ANALYSIS</t>
        </is>
      </c>
    </row>
    <row r="120">
      <c r="B120" t="inlineStr">
        <is>
          <t>Classification</t>
        </is>
      </c>
      <c r="C120" s="6" t="inlineStr">
        <is>
          <t>ZERO_INTEREST - Service contract, flat payments</t>
        </is>
      </c>
    </row>
    <row r="121">
      <c r="B121" t="inlineStr">
        <is>
          <t>Amortization Method</t>
        </is>
      </c>
      <c r="C121" s="6" t="inlineStr">
        <is>
          <t>Straight-line: Payment = Opening / # Periods</t>
        </is>
      </c>
    </row>
    <row r="122">
      <c r="B122" t="inlineStr">
        <is>
          <t>Interest Calculation</t>
        </is>
      </c>
      <c r="C122" s="6" t="inlineStr">
        <is>
          <t>N/A - 0% interest rate</t>
        </is>
      </c>
    </row>
    <row r="123">
      <c r="B123" t="inlineStr">
        <is>
          <t>Principal Calculation</t>
        </is>
      </c>
      <c r="C123" s="6" t="inlineStr">
        <is>
          <t>Full payment applies to principal</t>
        </is>
      </c>
    </row>
    <row r="124">
      <c r="B124" t="inlineStr">
        <is>
          <t>Estimated Periods</t>
        </is>
      </c>
      <c r="C124" s="6" t="inlineStr">
        <is>
          <t>59 months remaining</t>
        </is>
      </c>
    </row>
    <row r="125">
      <c r="B125" t="inlineStr">
        <is>
          <t>Notes</t>
        </is>
      </c>
      <c r="C125" s="6" t="inlineStr">
        <is>
          <t>Service contract for 17 International trucks (units 809-825)</t>
        </is>
      </c>
    </row>
    <row r="128">
      <c r="A128" s="18" t="inlineStr">
        <is>
          <t>Month #</t>
        </is>
      </c>
      <c r="B128" s="18" t="inlineStr">
        <is>
          <t>Date</t>
        </is>
      </c>
      <c r="C128" s="18" t="inlineStr">
        <is>
          <t>Opening Balance</t>
        </is>
      </c>
      <c r="D128" s="18" t="inlineStr">
        <is>
          <t>Interest</t>
        </is>
      </c>
      <c r="E128" s="18" t="inlineStr">
        <is>
          <t>Principal</t>
        </is>
      </c>
      <c r="F128" s="18" t="inlineStr">
        <is>
          <t>Closing Balance</t>
        </is>
      </c>
    </row>
    <row r="129">
      <c r="A129" t="n">
        <v>1</v>
      </c>
      <c r="B129" s="12" t="n">
        <v>45992</v>
      </c>
      <c r="C129" s="19">
        <f>$C$113</f>
        <v/>
      </c>
      <c r="D129" s="19">
        <f>0</f>
        <v/>
      </c>
      <c r="E129" s="19">
        <f>MIN(C129,$C$115)</f>
        <v/>
      </c>
      <c r="F129" s="19">
        <f>MAX(0,C129-E129)</f>
        <v/>
      </c>
    </row>
    <row r="130">
      <c r="A130" t="n">
        <v>2</v>
      </c>
      <c r="B130" s="12" t="n">
        <v>46023</v>
      </c>
      <c r="C130" s="19">
        <f>F129</f>
        <v/>
      </c>
      <c r="D130" s="19">
        <f>0</f>
        <v/>
      </c>
      <c r="E130" s="19">
        <f>MIN(C130,$C$115)</f>
        <v/>
      </c>
      <c r="F130" s="19">
        <f>MAX(0,C130-E130)</f>
        <v/>
      </c>
    </row>
    <row r="131">
      <c r="A131" t="n">
        <v>3</v>
      </c>
      <c r="B131" s="12" t="n">
        <v>46054</v>
      </c>
      <c r="C131" s="19">
        <f>F130</f>
        <v/>
      </c>
      <c r="D131" s="19">
        <f>0</f>
        <v/>
      </c>
      <c r="E131" s="19">
        <f>MIN(C131,$C$115)</f>
        <v/>
      </c>
      <c r="F131" s="19">
        <f>MAX(0,C131-E131)</f>
        <v/>
      </c>
    </row>
    <row r="132">
      <c r="A132" t="n">
        <v>4</v>
      </c>
      <c r="B132" s="12" t="n">
        <v>46082</v>
      </c>
      <c r="C132" s="19">
        <f>F131</f>
        <v/>
      </c>
      <c r="D132" s="19">
        <f>0</f>
        <v/>
      </c>
      <c r="E132" s="19">
        <f>MIN(C132,$C$115)</f>
        <v/>
      </c>
      <c r="F132" s="19">
        <f>MAX(0,C132-E132)</f>
        <v/>
      </c>
    </row>
    <row r="133">
      <c r="A133" t="n">
        <v>5</v>
      </c>
      <c r="B133" s="12" t="n">
        <v>46113</v>
      </c>
      <c r="C133" s="19">
        <f>F132</f>
        <v/>
      </c>
      <c r="D133" s="19">
        <f>0</f>
        <v/>
      </c>
      <c r="E133" s="19">
        <f>MIN(C133,$C$115)</f>
        <v/>
      </c>
      <c r="F133" s="19">
        <f>MAX(0,C133-E133)</f>
        <v/>
      </c>
    </row>
    <row r="134">
      <c r="A134" t="n">
        <v>6</v>
      </c>
      <c r="B134" s="12" t="n">
        <v>46143</v>
      </c>
      <c r="C134" s="19">
        <f>F133</f>
        <v/>
      </c>
      <c r="D134" s="19">
        <f>0</f>
        <v/>
      </c>
      <c r="E134" s="19">
        <f>MIN(C134,$C$115)</f>
        <v/>
      </c>
      <c r="F134" s="19">
        <f>MAX(0,C134-E134)</f>
        <v/>
      </c>
    </row>
    <row r="135">
      <c r="A135" t="n">
        <v>7</v>
      </c>
      <c r="B135" s="12" t="n">
        <v>46174</v>
      </c>
      <c r="C135" s="19">
        <f>F134</f>
        <v/>
      </c>
      <c r="D135" s="19">
        <f>0</f>
        <v/>
      </c>
      <c r="E135" s="19">
        <f>MIN(C135,$C$115)</f>
        <v/>
      </c>
      <c r="F135" s="19">
        <f>MAX(0,C135-E135)</f>
        <v/>
      </c>
    </row>
    <row r="136">
      <c r="A136" t="n">
        <v>8</v>
      </c>
      <c r="B136" s="12" t="n">
        <v>46204</v>
      </c>
      <c r="C136" s="19">
        <f>F135</f>
        <v/>
      </c>
      <c r="D136" s="19">
        <f>0</f>
        <v/>
      </c>
      <c r="E136" s="19">
        <f>MIN(C136,$C$115)</f>
        <v/>
      </c>
      <c r="F136" s="19">
        <f>MAX(0,C136-E136)</f>
        <v/>
      </c>
    </row>
    <row r="137">
      <c r="A137" t="n">
        <v>9</v>
      </c>
      <c r="B137" s="12" t="n">
        <v>46235</v>
      </c>
      <c r="C137" s="19">
        <f>F136</f>
        <v/>
      </c>
      <c r="D137" s="19">
        <f>0</f>
        <v/>
      </c>
      <c r="E137" s="19">
        <f>MIN(C137,$C$115)</f>
        <v/>
      </c>
      <c r="F137" s="19">
        <f>MAX(0,C137-E137)</f>
        <v/>
      </c>
    </row>
    <row r="138">
      <c r="A138" t="n">
        <v>10</v>
      </c>
      <c r="B138" s="12" t="n">
        <v>46266</v>
      </c>
      <c r="C138" s="19">
        <f>F137</f>
        <v/>
      </c>
      <c r="D138" s="19">
        <f>0</f>
        <v/>
      </c>
      <c r="E138" s="19">
        <f>MIN(C138,$C$115)</f>
        <v/>
      </c>
      <c r="F138" s="19">
        <f>MAX(0,C138-E138)</f>
        <v/>
      </c>
    </row>
    <row r="139">
      <c r="A139" t="n">
        <v>11</v>
      </c>
      <c r="B139" s="12" t="n">
        <v>46296</v>
      </c>
      <c r="C139" s="19">
        <f>F138</f>
        <v/>
      </c>
      <c r="D139" s="19">
        <f>0</f>
        <v/>
      </c>
      <c r="E139" s="19">
        <f>MIN(C139,$C$115)</f>
        <v/>
      </c>
      <c r="F139" s="19">
        <f>MAX(0,C139-E139)</f>
        <v/>
      </c>
    </row>
    <row r="140">
      <c r="A140" t="n">
        <v>12</v>
      </c>
      <c r="B140" s="12" t="n">
        <v>46327</v>
      </c>
      <c r="C140" s="19">
        <f>F139</f>
        <v/>
      </c>
      <c r="D140" s="19">
        <f>0</f>
        <v/>
      </c>
      <c r="E140" s="19">
        <f>MIN(C140,$C$115)</f>
        <v/>
      </c>
      <c r="F140" s="19">
        <f>MAX(0,C140-E140)</f>
        <v/>
      </c>
    </row>
    <row r="141">
      <c r="A141" t="n">
        <v>13</v>
      </c>
      <c r="B141" s="12" t="n">
        <v>46357</v>
      </c>
      <c r="C141" s="19">
        <f>F140</f>
        <v/>
      </c>
      <c r="D141" s="19">
        <f>0</f>
        <v/>
      </c>
      <c r="E141" s="19">
        <f>MIN(C141,$C$115)</f>
        <v/>
      </c>
      <c r="F141" s="19">
        <f>MAX(0,C141-E141)</f>
        <v/>
      </c>
    </row>
    <row r="142">
      <c r="A142" t="n">
        <v>14</v>
      </c>
      <c r="B142" s="12" t="n">
        <v>46388</v>
      </c>
      <c r="C142" s="19">
        <f>F141</f>
        <v/>
      </c>
      <c r="D142" s="19">
        <f>0</f>
        <v/>
      </c>
      <c r="E142" s="19">
        <f>MIN(C142,$C$115)</f>
        <v/>
      </c>
      <c r="F142" s="19">
        <f>MAX(0,C142-E142)</f>
        <v/>
      </c>
    </row>
    <row r="143">
      <c r="A143" t="n">
        <v>15</v>
      </c>
      <c r="B143" s="12" t="n">
        <v>46419</v>
      </c>
      <c r="C143" s="19">
        <f>F142</f>
        <v/>
      </c>
      <c r="D143" s="19">
        <f>0</f>
        <v/>
      </c>
      <c r="E143" s="19">
        <f>MIN(C143,$C$115)</f>
        <v/>
      </c>
      <c r="F143" s="19">
        <f>MAX(0,C143-E143)</f>
        <v/>
      </c>
    </row>
    <row r="144">
      <c r="A144" t="n">
        <v>16</v>
      </c>
      <c r="B144" s="12" t="n">
        <v>46447</v>
      </c>
      <c r="C144" s="19">
        <f>F143</f>
        <v/>
      </c>
      <c r="D144" s="19">
        <f>0</f>
        <v/>
      </c>
      <c r="E144" s="19">
        <f>MIN(C144,$C$115)</f>
        <v/>
      </c>
      <c r="F144" s="19">
        <f>MAX(0,C144-E144)</f>
        <v/>
      </c>
    </row>
    <row r="145">
      <c r="A145" t="n">
        <v>17</v>
      </c>
      <c r="B145" s="12" t="n">
        <v>46478</v>
      </c>
      <c r="C145" s="19">
        <f>F144</f>
        <v/>
      </c>
      <c r="D145" s="19">
        <f>0</f>
        <v/>
      </c>
      <c r="E145" s="19">
        <f>MIN(C145,$C$115)</f>
        <v/>
      </c>
      <c r="F145" s="19">
        <f>MAX(0,C145-E145)</f>
        <v/>
      </c>
    </row>
    <row r="146">
      <c r="A146" t="n">
        <v>18</v>
      </c>
      <c r="B146" s="12" t="n">
        <v>46508</v>
      </c>
      <c r="C146" s="19">
        <f>F145</f>
        <v/>
      </c>
      <c r="D146" s="19">
        <f>0</f>
        <v/>
      </c>
      <c r="E146" s="19">
        <f>MIN(C146,$C$115)</f>
        <v/>
      </c>
      <c r="F146" s="19">
        <f>MAX(0,C146-E146)</f>
        <v/>
      </c>
    </row>
    <row r="147">
      <c r="A147" t="n">
        <v>19</v>
      </c>
      <c r="B147" s="12" t="n">
        <v>46539</v>
      </c>
      <c r="C147" s="19">
        <f>F146</f>
        <v/>
      </c>
      <c r="D147" s="19">
        <f>0</f>
        <v/>
      </c>
      <c r="E147" s="19">
        <f>MIN(C147,$C$115)</f>
        <v/>
      </c>
      <c r="F147" s="19">
        <f>MAX(0,C147-E147)</f>
        <v/>
      </c>
    </row>
    <row r="148">
      <c r="A148" t="n">
        <v>20</v>
      </c>
      <c r="B148" s="12" t="n">
        <v>46569</v>
      </c>
      <c r="C148" s="19">
        <f>F147</f>
        <v/>
      </c>
      <c r="D148" s="19">
        <f>0</f>
        <v/>
      </c>
      <c r="E148" s="19">
        <f>MIN(C148,$C$115)</f>
        <v/>
      </c>
      <c r="F148" s="19">
        <f>MAX(0,C148-E148)</f>
        <v/>
      </c>
    </row>
    <row r="149">
      <c r="A149" t="n">
        <v>21</v>
      </c>
      <c r="B149" s="12" t="n">
        <v>46600</v>
      </c>
      <c r="C149" s="19">
        <f>F148</f>
        <v/>
      </c>
      <c r="D149" s="19">
        <f>0</f>
        <v/>
      </c>
      <c r="E149" s="19">
        <f>MIN(C149,$C$115)</f>
        <v/>
      </c>
      <c r="F149" s="19">
        <f>MAX(0,C149-E149)</f>
        <v/>
      </c>
    </row>
    <row r="150">
      <c r="A150" t="n">
        <v>22</v>
      </c>
      <c r="B150" s="12" t="n">
        <v>46631</v>
      </c>
      <c r="C150" s="19">
        <f>F149</f>
        <v/>
      </c>
      <c r="D150" s="19">
        <f>0</f>
        <v/>
      </c>
      <c r="E150" s="19">
        <f>MIN(C150,$C$115)</f>
        <v/>
      </c>
      <c r="F150" s="19">
        <f>MAX(0,C150-E150)</f>
        <v/>
      </c>
    </row>
    <row r="151">
      <c r="A151" t="n">
        <v>23</v>
      </c>
      <c r="B151" s="12" t="n">
        <v>46661</v>
      </c>
      <c r="C151" s="19">
        <f>F150</f>
        <v/>
      </c>
      <c r="D151" s="19">
        <f>0</f>
        <v/>
      </c>
      <c r="E151" s="19">
        <f>MIN(C151,$C$115)</f>
        <v/>
      </c>
      <c r="F151" s="19">
        <f>MAX(0,C151-E151)</f>
        <v/>
      </c>
    </row>
    <row r="152">
      <c r="A152" t="n">
        <v>24</v>
      </c>
      <c r="B152" s="12" t="n">
        <v>46692</v>
      </c>
      <c r="C152" s="19">
        <f>F151</f>
        <v/>
      </c>
      <c r="D152" s="19">
        <f>0</f>
        <v/>
      </c>
      <c r="E152" s="19">
        <f>MIN(C152,$C$115)</f>
        <v/>
      </c>
      <c r="F152" s="19">
        <f>MAX(0,C152-E152)</f>
        <v/>
      </c>
    </row>
    <row r="153">
      <c r="A153" t="n">
        <v>25</v>
      </c>
      <c r="B153" s="12" t="n">
        <v>46722</v>
      </c>
      <c r="C153" s="19">
        <f>F152</f>
        <v/>
      </c>
      <c r="D153" s="19">
        <f>0</f>
        <v/>
      </c>
      <c r="E153" s="19">
        <f>MIN(C153,$C$115)</f>
        <v/>
      </c>
      <c r="F153" s="19">
        <f>MAX(0,C153-E153)</f>
        <v/>
      </c>
    </row>
    <row r="154">
      <c r="A154" t="n">
        <v>26</v>
      </c>
      <c r="B154" s="12" t="n">
        <v>46753</v>
      </c>
      <c r="C154" s="19">
        <f>F153</f>
        <v/>
      </c>
      <c r="D154" s="19">
        <f>0</f>
        <v/>
      </c>
      <c r="E154" s="19">
        <f>MIN(C154,$C$115)</f>
        <v/>
      </c>
      <c r="F154" s="19">
        <f>MAX(0,C154-E154)</f>
        <v/>
      </c>
    </row>
    <row r="155">
      <c r="A155" t="n">
        <v>27</v>
      </c>
      <c r="B155" s="12" t="n">
        <v>46784</v>
      </c>
      <c r="C155" s="19">
        <f>F154</f>
        <v/>
      </c>
      <c r="D155" s="19">
        <f>0</f>
        <v/>
      </c>
      <c r="E155" s="19">
        <f>MIN(C155,$C$115)</f>
        <v/>
      </c>
      <c r="F155" s="19">
        <f>MAX(0,C155-E155)</f>
        <v/>
      </c>
    </row>
    <row r="156">
      <c r="A156" t="n">
        <v>28</v>
      </c>
      <c r="B156" s="12" t="n">
        <v>46813</v>
      </c>
      <c r="C156" s="19">
        <f>F155</f>
        <v/>
      </c>
      <c r="D156" s="19">
        <f>0</f>
        <v/>
      </c>
      <c r="E156" s="19">
        <f>MIN(C156,$C$115)</f>
        <v/>
      </c>
      <c r="F156" s="19">
        <f>MAX(0,C156-E156)</f>
        <v/>
      </c>
    </row>
    <row r="157">
      <c r="A157" t="n">
        <v>29</v>
      </c>
      <c r="B157" s="12" t="n">
        <v>46844</v>
      </c>
      <c r="C157" s="19">
        <f>F156</f>
        <v/>
      </c>
      <c r="D157" s="19">
        <f>0</f>
        <v/>
      </c>
      <c r="E157" s="19">
        <f>MIN(C157,$C$115)</f>
        <v/>
      </c>
      <c r="F157" s="19">
        <f>MAX(0,C157-E157)</f>
        <v/>
      </c>
    </row>
    <row r="158">
      <c r="A158" t="n">
        <v>30</v>
      </c>
      <c r="B158" s="12" t="n">
        <v>46874</v>
      </c>
      <c r="C158" s="19">
        <f>F157</f>
        <v/>
      </c>
      <c r="D158" s="19">
        <f>0</f>
        <v/>
      </c>
      <c r="E158" s="19">
        <f>MIN(C158,$C$115)</f>
        <v/>
      </c>
      <c r="F158" s="19">
        <f>MAX(0,C158-E158)</f>
        <v/>
      </c>
    </row>
    <row r="159">
      <c r="A159" t="n">
        <v>31</v>
      </c>
      <c r="B159" s="12" t="n">
        <v>46905</v>
      </c>
      <c r="C159" s="19">
        <f>F158</f>
        <v/>
      </c>
      <c r="D159" s="19">
        <f>0</f>
        <v/>
      </c>
      <c r="E159" s="19">
        <f>MIN(C159,$C$115)</f>
        <v/>
      </c>
      <c r="F159" s="19">
        <f>MAX(0,C159-E159)</f>
        <v/>
      </c>
    </row>
    <row r="160">
      <c r="A160" t="n">
        <v>32</v>
      </c>
      <c r="B160" s="12" t="n">
        <v>46935</v>
      </c>
      <c r="C160" s="19">
        <f>F159</f>
        <v/>
      </c>
      <c r="D160" s="19">
        <f>0</f>
        <v/>
      </c>
      <c r="E160" s="19">
        <f>MIN(C160,$C$115)</f>
        <v/>
      </c>
      <c r="F160" s="19">
        <f>MAX(0,C160-E160)</f>
        <v/>
      </c>
    </row>
    <row r="161">
      <c r="A161" t="n">
        <v>33</v>
      </c>
      <c r="B161" s="12" t="n">
        <v>46966</v>
      </c>
      <c r="C161" s="19">
        <f>F160</f>
        <v/>
      </c>
      <c r="D161" s="19">
        <f>0</f>
        <v/>
      </c>
      <c r="E161" s="19">
        <f>MIN(C161,$C$115)</f>
        <v/>
      </c>
      <c r="F161" s="19">
        <f>MAX(0,C161-E161)</f>
        <v/>
      </c>
    </row>
    <row r="162">
      <c r="A162" t="n">
        <v>34</v>
      </c>
      <c r="B162" s="12" t="n">
        <v>46997</v>
      </c>
      <c r="C162" s="19">
        <f>F161</f>
        <v/>
      </c>
      <c r="D162" s="19">
        <f>0</f>
        <v/>
      </c>
      <c r="E162" s="19">
        <f>MIN(C162,$C$115)</f>
        <v/>
      </c>
      <c r="F162" s="19">
        <f>MAX(0,C162-E162)</f>
        <v/>
      </c>
    </row>
    <row r="163">
      <c r="A163" t="n">
        <v>35</v>
      </c>
      <c r="B163" s="12" t="n">
        <v>47027</v>
      </c>
      <c r="C163" s="19">
        <f>F162</f>
        <v/>
      </c>
      <c r="D163" s="19">
        <f>0</f>
        <v/>
      </c>
      <c r="E163" s="19">
        <f>MIN(C163,$C$115)</f>
        <v/>
      </c>
      <c r="F163" s="19">
        <f>MAX(0,C163-E163)</f>
        <v/>
      </c>
    </row>
    <row r="164">
      <c r="A164" t="n">
        <v>36</v>
      </c>
      <c r="B164" s="12" t="n">
        <v>47058</v>
      </c>
      <c r="C164" s="19">
        <f>F163</f>
        <v/>
      </c>
      <c r="D164" s="19">
        <f>0</f>
        <v/>
      </c>
      <c r="E164" s="19">
        <f>MIN(C164,$C$115)</f>
        <v/>
      </c>
      <c r="F164" s="19">
        <f>MAX(0,C164-E164)</f>
        <v/>
      </c>
    </row>
    <row r="165">
      <c r="A165" t="n">
        <v>37</v>
      </c>
      <c r="B165" s="12" t="n">
        <v>47088</v>
      </c>
      <c r="C165" s="19">
        <f>F164</f>
        <v/>
      </c>
      <c r="D165" s="19">
        <f>0</f>
        <v/>
      </c>
      <c r="E165" s="19">
        <f>MIN(C165,$C$115)</f>
        <v/>
      </c>
      <c r="F165" s="19">
        <f>MAX(0,C165-E165)</f>
        <v/>
      </c>
    </row>
    <row r="166">
      <c r="A166" t="n">
        <v>38</v>
      </c>
      <c r="B166" s="12" t="n">
        <v>47119</v>
      </c>
      <c r="C166" s="19">
        <f>F165</f>
        <v/>
      </c>
      <c r="D166" s="19">
        <f>0</f>
        <v/>
      </c>
      <c r="E166" s="19">
        <f>MIN(C166,$C$115)</f>
        <v/>
      </c>
      <c r="F166" s="19">
        <f>MAX(0,C166-E166)</f>
        <v/>
      </c>
    </row>
    <row r="167">
      <c r="A167" t="n">
        <v>39</v>
      </c>
      <c r="B167" s="12" t="n">
        <v>47150</v>
      </c>
      <c r="C167" s="19">
        <f>F166</f>
        <v/>
      </c>
      <c r="D167" s="19">
        <f>0</f>
        <v/>
      </c>
      <c r="E167" s="19">
        <f>MIN(C167,$C$115)</f>
        <v/>
      </c>
      <c r="F167" s="19">
        <f>MAX(0,C167-E167)</f>
        <v/>
      </c>
    </row>
    <row r="168">
      <c r="A168" t="n">
        <v>40</v>
      </c>
      <c r="B168" s="12" t="n">
        <v>47178</v>
      </c>
      <c r="C168" s="19">
        <f>F167</f>
        <v/>
      </c>
      <c r="D168" s="19">
        <f>0</f>
        <v/>
      </c>
      <c r="E168" s="19">
        <f>MIN(C168,$C$115)</f>
        <v/>
      </c>
      <c r="F168" s="19">
        <f>MAX(0,C168-E168)</f>
        <v/>
      </c>
    </row>
    <row r="169">
      <c r="A169" t="n">
        <v>41</v>
      </c>
      <c r="B169" s="12" t="n">
        <v>47209</v>
      </c>
      <c r="C169" s="19">
        <f>F168</f>
        <v/>
      </c>
      <c r="D169" s="19">
        <f>0</f>
        <v/>
      </c>
      <c r="E169" s="19">
        <f>MIN(C169,$C$115)</f>
        <v/>
      </c>
      <c r="F169" s="19">
        <f>MAX(0,C169-E169)</f>
        <v/>
      </c>
    </row>
    <row r="170">
      <c r="A170" t="n">
        <v>42</v>
      </c>
      <c r="B170" s="12" t="n">
        <v>47239</v>
      </c>
      <c r="C170" s="19">
        <f>F169</f>
        <v/>
      </c>
      <c r="D170" s="19">
        <f>0</f>
        <v/>
      </c>
      <c r="E170" s="19">
        <f>MIN(C170,$C$115)</f>
        <v/>
      </c>
      <c r="F170" s="19">
        <f>MAX(0,C170-E170)</f>
        <v/>
      </c>
    </row>
    <row r="171">
      <c r="A171" t="n">
        <v>43</v>
      </c>
      <c r="B171" s="12" t="n">
        <v>47270</v>
      </c>
      <c r="C171" s="19">
        <f>F170</f>
        <v/>
      </c>
      <c r="D171" s="19">
        <f>0</f>
        <v/>
      </c>
      <c r="E171" s="19">
        <f>MIN(C171,$C$115)</f>
        <v/>
      </c>
      <c r="F171" s="19">
        <f>MAX(0,C171-E171)</f>
        <v/>
      </c>
    </row>
    <row r="172">
      <c r="A172" t="n">
        <v>44</v>
      </c>
      <c r="B172" s="12" t="n">
        <v>47300</v>
      </c>
      <c r="C172" s="19">
        <f>F171</f>
        <v/>
      </c>
      <c r="D172" s="19">
        <f>0</f>
        <v/>
      </c>
      <c r="E172" s="19">
        <f>MIN(C172,$C$115)</f>
        <v/>
      </c>
      <c r="F172" s="19">
        <f>MAX(0,C172-E172)</f>
        <v/>
      </c>
    </row>
    <row r="173">
      <c r="A173" t="n">
        <v>45</v>
      </c>
      <c r="B173" s="12" t="n">
        <v>47331</v>
      </c>
      <c r="C173" s="19">
        <f>F172</f>
        <v/>
      </c>
      <c r="D173" s="19">
        <f>0</f>
        <v/>
      </c>
      <c r="E173" s="19">
        <f>MIN(C173,$C$115)</f>
        <v/>
      </c>
      <c r="F173" s="19">
        <f>MAX(0,C173-E173)</f>
        <v/>
      </c>
    </row>
    <row r="174">
      <c r="A174" t="n">
        <v>46</v>
      </c>
      <c r="B174" s="12" t="n">
        <v>47362</v>
      </c>
      <c r="C174" s="19">
        <f>F173</f>
        <v/>
      </c>
      <c r="D174" s="19">
        <f>0</f>
        <v/>
      </c>
      <c r="E174" s="19">
        <f>MIN(C174,$C$115)</f>
        <v/>
      </c>
      <c r="F174" s="19">
        <f>MAX(0,C174-E174)</f>
        <v/>
      </c>
    </row>
    <row r="175">
      <c r="A175" t="n">
        <v>47</v>
      </c>
      <c r="B175" s="12" t="n">
        <v>47392</v>
      </c>
      <c r="C175" s="19">
        <f>F174</f>
        <v/>
      </c>
      <c r="D175" s="19">
        <f>0</f>
        <v/>
      </c>
      <c r="E175" s="19">
        <f>MIN(C175,$C$115)</f>
        <v/>
      </c>
      <c r="F175" s="19">
        <f>MAX(0,C175-E175)</f>
        <v/>
      </c>
    </row>
    <row r="176">
      <c r="A176" t="n">
        <v>48</v>
      </c>
      <c r="B176" s="12" t="n">
        <v>47423</v>
      </c>
      <c r="C176" s="19">
        <f>F175</f>
        <v/>
      </c>
      <c r="D176" s="19">
        <f>0</f>
        <v/>
      </c>
      <c r="E176" s="19">
        <f>MIN(C176,$C$115)</f>
        <v/>
      </c>
      <c r="F176" s="19">
        <f>MAX(0,C176-E176)</f>
        <v/>
      </c>
    </row>
    <row r="177">
      <c r="A177" t="n">
        <v>49</v>
      </c>
      <c r="B177" s="12" t="n">
        <v>47453</v>
      </c>
      <c r="C177" s="19">
        <f>F176</f>
        <v/>
      </c>
      <c r="D177" s="19">
        <f>0</f>
        <v/>
      </c>
      <c r="E177" s="19">
        <f>MIN(C177,$C$115)</f>
        <v/>
      </c>
      <c r="F177" s="19">
        <f>MAX(0,C177-E177)</f>
        <v/>
      </c>
    </row>
    <row r="178">
      <c r="A178" t="n">
        <v>50</v>
      </c>
      <c r="B178" s="12" t="n">
        <v>47484</v>
      </c>
      <c r="C178" s="19">
        <f>F177</f>
        <v/>
      </c>
      <c r="D178" s="19">
        <f>0</f>
        <v/>
      </c>
      <c r="E178" s="19">
        <f>MIN(C178,$C$115)</f>
        <v/>
      </c>
      <c r="F178" s="19">
        <f>MAX(0,C178-E178)</f>
        <v/>
      </c>
    </row>
    <row r="179">
      <c r="A179" t="n">
        <v>51</v>
      </c>
      <c r="B179" s="12" t="n">
        <v>47515</v>
      </c>
      <c r="C179" s="19">
        <f>F178</f>
        <v/>
      </c>
      <c r="D179" s="19">
        <f>0</f>
        <v/>
      </c>
      <c r="E179" s="19">
        <f>MIN(C179,$C$115)</f>
        <v/>
      </c>
      <c r="F179" s="19">
        <f>MAX(0,C179-E179)</f>
        <v/>
      </c>
    </row>
    <row r="180">
      <c r="A180" t="n">
        <v>52</v>
      </c>
      <c r="B180" s="12" t="n">
        <v>47543</v>
      </c>
      <c r="C180" s="19">
        <f>F179</f>
        <v/>
      </c>
      <c r="D180" s="19">
        <f>0</f>
        <v/>
      </c>
      <c r="E180" s="19">
        <f>MIN(C180,$C$115)</f>
        <v/>
      </c>
      <c r="F180" s="19">
        <f>MAX(0,C180-E180)</f>
        <v/>
      </c>
    </row>
    <row r="181">
      <c r="A181" t="n">
        <v>53</v>
      </c>
      <c r="B181" s="12" t="n">
        <v>47574</v>
      </c>
      <c r="C181" s="19">
        <f>F180</f>
        <v/>
      </c>
      <c r="D181" s="19">
        <f>0</f>
        <v/>
      </c>
      <c r="E181" s="19">
        <f>MIN(C181,$C$115)</f>
        <v/>
      </c>
      <c r="F181" s="19">
        <f>MAX(0,C181-E181)</f>
        <v/>
      </c>
    </row>
    <row r="182">
      <c r="A182" t="n">
        <v>54</v>
      </c>
      <c r="B182" s="12" t="n">
        <v>47604</v>
      </c>
      <c r="C182" s="19">
        <f>F181</f>
        <v/>
      </c>
      <c r="D182" s="19">
        <f>0</f>
        <v/>
      </c>
      <c r="E182" s="19">
        <f>MIN(C182,$C$115)</f>
        <v/>
      </c>
      <c r="F182" s="19">
        <f>MAX(0,C182-E182)</f>
        <v/>
      </c>
    </row>
    <row r="183">
      <c r="A183" t="n">
        <v>55</v>
      </c>
      <c r="B183" s="12" t="n">
        <v>47635</v>
      </c>
      <c r="C183" s="19">
        <f>F182</f>
        <v/>
      </c>
      <c r="D183" s="19">
        <f>0</f>
        <v/>
      </c>
      <c r="E183" s="19">
        <f>MIN(C183,$C$115)</f>
        <v/>
      </c>
      <c r="F183" s="19">
        <f>MAX(0,C183-E183)</f>
        <v/>
      </c>
    </row>
    <row r="184">
      <c r="A184" t="n">
        <v>56</v>
      </c>
      <c r="B184" s="12" t="n">
        <v>47665</v>
      </c>
      <c r="C184" s="19">
        <f>F183</f>
        <v/>
      </c>
      <c r="D184" s="19">
        <f>0</f>
        <v/>
      </c>
      <c r="E184" s="19">
        <f>MIN(C184,$C$115)</f>
        <v/>
      </c>
      <c r="F184" s="19">
        <f>MAX(0,C184-E184)</f>
        <v/>
      </c>
    </row>
    <row r="185">
      <c r="A185" t="n">
        <v>57</v>
      </c>
      <c r="B185" s="12" t="n">
        <v>47696</v>
      </c>
      <c r="C185" s="19">
        <f>F184</f>
        <v/>
      </c>
      <c r="D185" s="19">
        <f>0</f>
        <v/>
      </c>
      <c r="E185" s="19">
        <f>MIN(C185,$C$115)</f>
        <v/>
      </c>
      <c r="F185" s="19">
        <f>MAX(0,C185-E185)</f>
        <v/>
      </c>
    </row>
    <row r="186">
      <c r="A186" t="n">
        <v>58</v>
      </c>
      <c r="B186" s="12" t="n">
        <v>47727</v>
      </c>
      <c r="C186" s="19">
        <f>F185</f>
        <v/>
      </c>
      <c r="D186" s="19">
        <f>0</f>
        <v/>
      </c>
      <c r="E186" s="19">
        <f>MIN(C186,$C$115)</f>
        <v/>
      </c>
      <c r="F186" s="19">
        <f>MAX(0,C186-E186)</f>
        <v/>
      </c>
    </row>
    <row r="187">
      <c r="A187" t="n">
        <v>59</v>
      </c>
      <c r="B187" s="12" t="n">
        <v>47757</v>
      </c>
      <c r="C187" s="19">
        <f>F186</f>
        <v/>
      </c>
      <c r="D187" s="19">
        <f>0</f>
        <v/>
      </c>
      <c r="E187" s="19">
        <f>MIN(C187,$C$115)</f>
        <v/>
      </c>
      <c r="F187" s="19">
        <f>MAX(0,C187-E187)</f>
        <v/>
      </c>
    </row>
    <row r="189">
      <c r="B189" s="20" t="inlineStr">
        <is>
          <t>TOTALS</t>
        </is>
      </c>
      <c r="D189" s="21">
        <f>SUM(D129:D187)</f>
        <v/>
      </c>
      <c r="E189" s="21">
        <f>SUM(E129:E187)</f>
        <v/>
      </c>
    </row>
    <row r="194">
      <c r="A194" s="15" t="inlineStr">
        <is>
          <t>COMBINED TOTALS - INTERNATIONAL FINANCIAL</t>
        </is>
      </c>
    </row>
    <row r="196">
      <c r="B196" t="inlineStr">
        <is>
          <t>Total Interest (All Loans)</t>
        </is>
      </c>
      <c r="C196" s="21">
        <f>D104+D189</f>
        <v/>
      </c>
    </row>
    <row r="197">
      <c r="B197" t="inlineStr">
        <is>
          <t>Total Principal (All Loans)</t>
        </is>
      </c>
      <c r="C197" s="21">
        <f>E104+E189</f>
        <v/>
      </c>
    </row>
  </sheetData>
  <mergeCells count="7">
    <mergeCell ref="A13:G13"/>
    <mergeCell ref="A119:G119"/>
    <mergeCell ref="A1:F1"/>
    <mergeCell ref="A194:F194"/>
    <mergeCell ref="A25:G25"/>
    <mergeCell ref="A3:F3"/>
    <mergeCell ref="A107:G107"/>
  </mergeCells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tabColor rgb="00808080"/>
    <outlinePr summaryBelow="1" summaryRight="1"/>
    <pageSetUpPr/>
  </sheetPr>
  <dimension ref="A1:F236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5" t="inlineStr">
        <is>
          <t>CCG - COMMERCIAL CREDIT GROUP</t>
        </is>
      </c>
    </row>
    <row r="2">
      <c r="A2" s="17" t="inlineStr">
        <is>
          <t>LENDER SUMMARY</t>
        </is>
      </c>
    </row>
    <row r="3">
      <c r="A3" t="inlineStr">
        <is>
          <t>Lender:</t>
        </is>
      </c>
      <c r="B3" t="inlineStr">
        <is>
          <t>Commercial Credit Group (CCG)</t>
        </is>
      </c>
    </row>
    <row r="4">
      <c r="A4" t="inlineStr">
        <is>
          <t>Number of Loans:</t>
        </is>
      </c>
      <c r="B4" s="2" t="n">
        <v>3</v>
      </c>
    </row>
    <row r="5">
      <c r="A5" t="inlineStr">
        <is>
          <t>Total Remaining Balance:</t>
        </is>
      </c>
      <c r="B5" s="22" t="n">
        <v>3017634</v>
      </c>
    </row>
    <row r="6">
      <c r="A6" t="inlineStr">
        <is>
          <t>Total Monthly Payment:</t>
        </is>
      </c>
      <c r="B6" s="22" t="n">
        <v>68832</v>
      </c>
    </row>
    <row r="7">
      <c r="A7" t="inlineStr">
        <is>
          <t>Interest Rate (all loans):</t>
        </is>
      </c>
      <c r="B7" s="2" t="inlineStr">
        <is>
          <t>10.50%</t>
        </is>
      </c>
    </row>
    <row r="8">
      <c r="A8" t="inlineStr">
        <is>
          <t>Maturity Date (all loans):</t>
        </is>
      </c>
      <c r="B8" s="2" t="inlineStr">
        <is>
          <t>2030-08-10</t>
        </is>
      </c>
    </row>
    <row r="9">
      <c r="A9" t="inlineStr">
        <is>
          <t>As of Date:</t>
        </is>
      </c>
      <c r="B9" s="2" t="inlineStr">
        <is>
          <t>November 30, 2025</t>
        </is>
      </c>
    </row>
    <row r="11">
      <c r="A11" s="17" t="inlineStr">
        <is>
          <t>AI ANALYSIS</t>
        </is>
      </c>
    </row>
    <row r="12">
      <c r="A12" t="inlineStr">
        <is>
          <t>Loan Type Classification:</t>
        </is>
      </c>
      <c r="B12" t="inlineStr">
        <is>
          <t>Standard amortizing equipment loans</t>
        </is>
      </c>
    </row>
    <row r="13">
      <c r="A13" t="inlineStr">
        <is>
          <t>Collateral:</t>
        </is>
      </c>
      <c r="B13" t="inlineStr">
        <is>
          <t>17 International semi trucks (units 809-825)</t>
        </is>
      </c>
    </row>
    <row r="14">
      <c r="A14" t="inlineStr">
        <is>
          <t>Amortization Notes:</t>
        </is>
      </c>
      <c r="B14" t="inlineStr">
        <is>
          <t>All loans originated Nov 2025, ~57 months remaining to Aug 2030 maturity</t>
        </is>
      </c>
    </row>
    <row r="15">
      <c r="A15" t="inlineStr">
        <is>
          <t>Rate Assessment:</t>
        </is>
      </c>
      <c r="B15" t="inlineStr">
        <is>
          <t>10.50% is above market for equipment (reflects credit profile); fixed rate</t>
        </is>
      </c>
    </row>
    <row r="17">
      <c r="A17" s="15" t="inlineStr">
        <is>
          <t>LOAN 1: CCG 5 Trucks 809-813</t>
        </is>
      </c>
    </row>
    <row r="18">
      <c r="A18" t="inlineStr">
        <is>
          <t>Loan ID:</t>
        </is>
      </c>
      <c r="B18" s="2" t="inlineStr">
        <is>
          <t>05-2990-000-000-00</t>
        </is>
      </c>
    </row>
    <row r="19">
      <c r="A19" t="inlineStr">
        <is>
          <t>Account:</t>
        </is>
      </c>
      <c r="B19" s="2" t="inlineStr">
        <is>
          <t>46873</t>
        </is>
      </c>
    </row>
    <row r="20">
      <c r="A20" t="inlineStr">
        <is>
          <t>Opening Balance:</t>
        </is>
      </c>
      <c r="B20" s="22" t="n">
        <v>940000</v>
      </c>
    </row>
    <row r="21">
      <c r="A21" t="inlineStr">
        <is>
          <t>Remaining Balance (Nov 2025):</t>
        </is>
      </c>
      <c r="B21" s="22" t="n">
        <v>887529</v>
      </c>
    </row>
    <row r="22">
      <c r="A22" t="inlineStr">
        <is>
          <t>Annual Interest Rate:</t>
        </is>
      </c>
      <c r="B22" s="4" t="n">
        <v>0.105</v>
      </c>
    </row>
    <row r="23">
      <c r="A23" t="inlineStr">
        <is>
          <t>Monthly Payment:</t>
        </is>
      </c>
      <c r="B23" s="22" t="n">
        <v>20250</v>
      </c>
    </row>
    <row r="24">
      <c r="A24" t="inlineStr">
        <is>
          <t>Origination Date:</t>
        </is>
      </c>
      <c r="B24" s="2" t="inlineStr">
        <is>
          <t>2025-11-10</t>
        </is>
      </c>
    </row>
    <row r="25">
      <c r="A25" t="inlineStr">
        <is>
          <t>Maturity Date:</t>
        </is>
      </c>
      <c r="B25" s="2" t="inlineStr">
        <is>
          <t>2030-08-10</t>
        </is>
      </c>
    </row>
    <row r="26">
      <c r="A26" t="inlineStr">
        <is>
          <t>Loan Type:</t>
        </is>
      </c>
      <c r="B26" s="2" t="inlineStr">
        <is>
          <t>AMORTIZING</t>
        </is>
      </c>
    </row>
    <row r="27">
      <c r="A27" t="inlineStr">
        <is>
          <t>Use / Collateral:</t>
        </is>
      </c>
      <c r="B27" s="2" t="inlineStr">
        <is>
          <t>Equipment (Semi trucks)</t>
        </is>
      </c>
    </row>
    <row r="29">
      <c r="A29" s="17" t="inlineStr">
        <is>
          <t>AMORTIZATION SCHEDULE</t>
        </is>
      </c>
    </row>
    <row r="30">
      <c r="A30" s="23" t="inlineStr">
        <is>
          <t>Month #</t>
        </is>
      </c>
      <c r="B30" s="23" t="inlineStr">
        <is>
          <t>Date</t>
        </is>
      </c>
      <c r="C30" s="23" t="inlineStr">
        <is>
          <t>Opening Balance</t>
        </is>
      </c>
      <c r="D30" s="23" t="inlineStr">
        <is>
          <t>Interest</t>
        </is>
      </c>
      <c r="E30" s="23" t="inlineStr">
        <is>
          <t>Principal</t>
        </is>
      </c>
      <c r="F30" s="23" t="inlineStr">
        <is>
          <t>Closing Balance</t>
        </is>
      </c>
    </row>
    <row r="31">
      <c r="A31" s="9" t="n">
        <v>1</v>
      </c>
      <c r="B31" s="9" t="inlineStr">
        <is>
          <t>2025-12-01</t>
        </is>
      </c>
      <c r="C31" s="24">
        <f>B21</f>
        <v/>
      </c>
      <c r="D31" s="24">
        <f>MAX(0,C31*$B$22/12)</f>
        <v/>
      </c>
      <c r="E31" s="24">
        <f>MAX(0,MIN(C31,$B$23-D31))</f>
        <v/>
      </c>
      <c r="F31" s="24">
        <f>MAX(0,C31-E31)</f>
        <v/>
      </c>
    </row>
    <row r="32">
      <c r="A32" s="9" t="n">
        <v>2</v>
      </c>
      <c r="B32" s="9" t="inlineStr">
        <is>
          <t>2026-01-01</t>
        </is>
      </c>
      <c r="C32" s="24">
        <f>F31</f>
        <v/>
      </c>
      <c r="D32" s="24">
        <f>MAX(0,C32*$B$22/12)</f>
        <v/>
      </c>
      <c r="E32" s="24">
        <f>MAX(0,MIN(C32,$B$23-D32))</f>
        <v/>
      </c>
      <c r="F32" s="24">
        <f>MAX(0,C32-E32)</f>
        <v/>
      </c>
    </row>
    <row r="33">
      <c r="A33" s="9" t="n">
        <v>3</v>
      </c>
      <c r="B33" s="9" t="inlineStr">
        <is>
          <t>2026-02-01</t>
        </is>
      </c>
      <c r="C33" s="24">
        <f>F32</f>
        <v/>
      </c>
      <c r="D33" s="24">
        <f>MAX(0,C33*$B$22/12)</f>
        <v/>
      </c>
      <c r="E33" s="24">
        <f>MAX(0,MIN(C33,$B$23-D33))</f>
        <v/>
      </c>
      <c r="F33" s="24">
        <f>MAX(0,C33-E33)</f>
        <v/>
      </c>
    </row>
    <row r="34">
      <c r="A34" s="9" t="n">
        <v>4</v>
      </c>
      <c r="B34" s="9" t="inlineStr">
        <is>
          <t>2026-03-01</t>
        </is>
      </c>
      <c r="C34" s="24">
        <f>F33</f>
        <v/>
      </c>
      <c r="D34" s="24">
        <f>MAX(0,C34*$B$22/12)</f>
        <v/>
      </c>
      <c r="E34" s="24">
        <f>MAX(0,MIN(C34,$B$23-D34))</f>
        <v/>
      </c>
      <c r="F34" s="24">
        <f>MAX(0,C34-E34)</f>
        <v/>
      </c>
    </row>
    <row r="35">
      <c r="A35" s="9" t="n">
        <v>5</v>
      </c>
      <c r="B35" s="9" t="inlineStr">
        <is>
          <t>2026-04-01</t>
        </is>
      </c>
      <c r="C35" s="24">
        <f>F34</f>
        <v/>
      </c>
      <c r="D35" s="24">
        <f>MAX(0,C35*$B$22/12)</f>
        <v/>
      </c>
      <c r="E35" s="24">
        <f>MAX(0,MIN(C35,$B$23-D35))</f>
        <v/>
      </c>
      <c r="F35" s="24">
        <f>MAX(0,C35-E35)</f>
        <v/>
      </c>
    </row>
    <row r="36">
      <c r="A36" s="9" t="n">
        <v>6</v>
      </c>
      <c r="B36" s="9" t="inlineStr">
        <is>
          <t>2026-05-01</t>
        </is>
      </c>
      <c r="C36" s="24">
        <f>F35</f>
        <v/>
      </c>
      <c r="D36" s="24">
        <f>MAX(0,C36*$B$22/12)</f>
        <v/>
      </c>
      <c r="E36" s="24">
        <f>MAX(0,MIN(C36,$B$23-D36))</f>
        <v/>
      </c>
      <c r="F36" s="24">
        <f>MAX(0,C36-E36)</f>
        <v/>
      </c>
    </row>
    <row r="37">
      <c r="A37" s="9" t="n">
        <v>7</v>
      </c>
      <c r="B37" s="9" t="inlineStr">
        <is>
          <t>2026-06-01</t>
        </is>
      </c>
      <c r="C37" s="24">
        <f>F36</f>
        <v/>
      </c>
      <c r="D37" s="24">
        <f>MAX(0,C37*$B$22/12)</f>
        <v/>
      </c>
      <c r="E37" s="24">
        <f>MAX(0,MIN(C37,$B$23-D37))</f>
        <v/>
      </c>
      <c r="F37" s="24">
        <f>MAX(0,C37-E37)</f>
        <v/>
      </c>
    </row>
    <row r="38">
      <c r="A38" s="9" t="n">
        <v>8</v>
      </c>
      <c r="B38" s="9" t="inlineStr">
        <is>
          <t>2026-07-01</t>
        </is>
      </c>
      <c r="C38" s="24">
        <f>F37</f>
        <v/>
      </c>
      <c r="D38" s="24">
        <f>MAX(0,C38*$B$22/12)</f>
        <v/>
      </c>
      <c r="E38" s="24">
        <f>MAX(0,MIN(C38,$B$23-D38))</f>
        <v/>
      </c>
      <c r="F38" s="24">
        <f>MAX(0,C38-E38)</f>
        <v/>
      </c>
    </row>
    <row r="39">
      <c r="A39" s="9" t="n">
        <v>9</v>
      </c>
      <c r="B39" s="9" t="inlineStr">
        <is>
          <t>2026-08-01</t>
        </is>
      </c>
      <c r="C39" s="24">
        <f>F38</f>
        <v/>
      </c>
      <c r="D39" s="24">
        <f>MAX(0,C39*$B$22/12)</f>
        <v/>
      </c>
      <c r="E39" s="24">
        <f>MAX(0,MIN(C39,$B$23-D39))</f>
        <v/>
      </c>
      <c r="F39" s="24">
        <f>MAX(0,C39-E39)</f>
        <v/>
      </c>
    </row>
    <row r="40">
      <c r="A40" s="9" t="n">
        <v>10</v>
      </c>
      <c r="B40" s="9" t="inlineStr">
        <is>
          <t>2026-09-01</t>
        </is>
      </c>
      <c r="C40" s="24">
        <f>F39</f>
        <v/>
      </c>
      <c r="D40" s="24">
        <f>MAX(0,C40*$B$22/12)</f>
        <v/>
      </c>
      <c r="E40" s="24">
        <f>MAX(0,MIN(C40,$B$23-D40))</f>
        <v/>
      </c>
      <c r="F40" s="24">
        <f>MAX(0,C40-E40)</f>
        <v/>
      </c>
    </row>
    <row r="41">
      <c r="A41" s="9" t="n">
        <v>11</v>
      </c>
      <c r="B41" s="9" t="inlineStr">
        <is>
          <t>2026-10-01</t>
        </is>
      </c>
      <c r="C41" s="24">
        <f>F40</f>
        <v/>
      </c>
      <c r="D41" s="24">
        <f>MAX(0,C41*$B$22/12)</f>
        <v/>
      </c>
      <c r="E41" s="24">
        <f>MAX(0,MIN(C41,$B$23-D41))</f>
        <v/>
      </c>
      <c r="F41" s="24">
        <f>MAX(0,C41-E41)</f>
        <v/>
      </c>
    </row>
    <row r="42">
      <c r="A42" s="9" t="n">
        <v>12</v>
      </c>
      <c r="B42" s="9" t="inlineStr">
        <is>
          <t>2026-11-01</t>
        </is>
      </c>
      <c r="C42" s="24">
        <f>F41</f>
        <v/>
      </c>
      <c r="D42" s="24">
        <f>MAX(0,C42*$B$22/12)</f>
        <v/>
      </c>
      <c r="E42" s="24">
        <f>MAX(0,MIN(C42,$B$23-D42))</f>
        <v/>
      </c>
      <c r="F42" s="24">
        <f>MAX(0,C42-E42)</f>
        <v/>
      </c>
    </row>
    <row r="43">
      <c r="A43" s="9" t="n">
        <v>13</v>
      </c>
      <c r="B43" s="9" t="inlineStr">
        <is>
          <t>2026-12-01</t>
        </is>
      </c>
      <c r="C43" s="24">
        <f>F42</f>
        <v/>
      </c>
      <c r="D43" s="24">
        <f>MAX(0,C43*$B$22/12)</f>
        <v/>
      </c>
      <c r="E43" s="24">
        <f>MAX(0,MIN(C43,$B$23-D43))</f>
        <v/>
      </c>
      <c r="F43" s="24">
        <f>MAX(0,C43-E43)</f>
        <v/>
      </c>
    </row>
    <row r="44">
      <c r="A44" s="9" t="n">
        <v>14</v>
      </c>
      <c r="B44" s="9" t="inlineStr">
        <is>
          <t>2027-01-01</t>
        </is>
      </c>
      <c r="C44" s="24">
        <f>F43</f>
        <v/>
      </c>
      <c r="D44" s="24">
        <f>MAX(0,C44*$B$22/12)</f>
        <v/>
      </c>
      <c r="E44" s="24">
        <f>MAX(0,MIN(C44,$B$23-D44))</f>
        <v/>
      </c>
      <c r="F44" s="24">
        <f>MAX(0,C44-E44)</f>
        <v/>
      </c>
    </row>
    <row r="45">
      <c r="A45" s="9" t="n">
        <v>15</v>
      </c>
      <c r="B45" s="9" t="inlineStr">
        <is>
          <t>2027-02-01</t>
        </is>
      </c>
      <c r="C45" s="24">
        <f>F44</f>
        <v/>
      </c>
      <c r="D45" s="24">
        <f>MAX(0,C45*$B$22/12)</f>
        <v/>
      </c>
      <c r="E45" s="24">
        <f>MAX(0,MIN(C45,$B$23-D45))</f>
        <v/>
      </c>
      <c r="F45" s="24">
        <f>MAX(0,C45-E45)</f>
        <v/>
      </c>
    </row>
    <row r="46">
      <c r="A46" s="9" t="n">
        <v>16</v>
      </c>
      <c r="B46" s="9" t="inlineStr">
        <is>
          <t>2027-03-01</t>
        </is>
      </c>
      <c r="C46" s="24">
        <f>F45</f>
        <v/>
      </c>
      <c r="D46" s="24">
        <f>MAX(0,C46*$B$22/12)</f>
        <v/>
      </c>
      <c r="E46" s="24">
        <f>MAX(0,MIN(C46,$B$23-D46))</f>
        <v/>
      </c>
      <c r="F46" s="24">
        <f>MAX(0,C46-E46)</f>
        <v/>
      </c>
    </row>
    <row r="47">
      <c r="A47" s="9" t="n">
        <v>17</v>
      </c>
      <c r="B47" s="9" t="inlineStr">
        <is>
          <t>2027-04-01</t>
        </is>
      </c>
      <c r="C47" s="24">
        <f>F46</f>
        <v/>
      </c>
      <c r="D47" s="24">
        <f>MAX(0,C47*$B$22/12)</f>
        <v/>
      </c>
      <c r="E47" s="24">
        <f>MAX(0,MIN(C47,$B$23-D47))</f>
        <v/>
      </c>
      <c r="F47" s="24">
        <f>MAX(0,C47-E47)</f>
        <v/>
      </c>
    </row>
    <row r="48">
      <c r="A48" s="9" t="n">
        <v>18</v>
      </c>
      <c r="B48" s="9" t="inlineStr">
        <is>
          <t>2027-05-01</t>
        </is>
      </c>
      <c r="C48" s="24">
        <f>F47</f>
        <v/>
      </c>
      <c r="D48" s="24">
        <f>MAX(0,C48*$B$22/12)</f>
        <v/>
      </c>
      <c r="E48" s="24">
        <f>MAX(0,MIN(C48,$B$23-D48))</f>
        <v/>
      </c>
      <c r="F48" s="24">
        <f>MAX(0,C48-E48)</f>
        <v/>
      </c>
    </row>
    <row r="49">
      <c r="A49" s="9" t="n">
        <v>19</v>
      </c>
      <c r="B49" s="9" t="inlineStr">
        <is>
          <t>2027-06-01</t>
        </is>
      </c>
      <c r="C49" s="24">
        <f>F48</f>
        <v/>
      </c>
      <c r="D49" s="24">
        <f>MAX(0,C49*$B$22/12)</f>
        <v/>
      </c>
      <c r="E49" s="24">
        <f>MAX(0,MIN(C49,$B$23-D49))</f>
        <v/>
      </c>
      <c r="F49" s="24">
        <f>MAX(0,C49-E49)</f>
        <v/>
      </c>
    </row>
    <row r="50">
      <c r="A50" s="9" t="n">
        <v>20</v>
      </c>
      <c r="B50" s="9" t="inlineStr">
        <is>
          <t>2027-07-01</t>
        </is>
      </c>
      <c r="C50" s="24">
        <f>F49</f>
        <v/>
      </c>
      <c r="D50" s="24">
        <f>MAX(0,C50*$B$22/12)</f>
        <v/>
      </c>
      <c r="E50" s="24">
        <f>MAX(0,MIN(C50,$B$23-D50))</f>
        <v/>
      </c>
      <c r="F50" s="24">
        <f>MAX(0,C50-E50)</f>
        <v/>
      </c>
    </row>
    <row r="51">
      <c r="A51" s="9" t="n">
        <v>21</v>
      </c>
      <c r="B51" s="9" t="inlineStr">
        <is>
          <t>2027-08-01</t>
        </is>
      </c>
      <c r="C51" s="24">
        <f>F50</f>
        <v/>
      </c>
      <c r="D51" s="24">
        <f>MAX(0,C51*$B$22/12)</f>
        <v/>
      </c>
      <c r="E51" s="24">
        <f>MAX(0,MIN(C51,$B$23-D51))</f>
        <v/>
      </c>
      <c r="F51" s="24">
        <f>MAX(0,C51-E51)</f>
        <v/>
      </c>
    </row>
    <row r="52">
      <c r="A52" s="9" t="n">
        <v>22</v>
      </c>
      <c r="B52" s="9" t="inlineStr">
        <is>
          <t>2027-09-01</t>
        </is>
      </c>
      <c r="C52" s="24">
        <f>F51</f>
        <v/>
      </c>
      <c r="D52" s="24">
        <f>MAX(0,C52*$B$22/12)</f>
        <v/>
      </c>
      <c r="E52" s="24">
        <f>MAX(0,MIN(C52,$B$23-D52))</f>
        <v/>
      </c>
      <c r="F52" s="24">
        <f>MAX(0,C52-E52)</f>
        <v/>
      </c>
    </row>
    <row r="53">
      <c r="A53" s="9" t="n">
        <v>23</v>
      </c>
      <c r="B53" s="9" t="inlineStr">
        <is>
          <t>2027-10-01</t>
        </is>
      </c>
      <c r="C53" s="24">
        <f>F52</f>
        <v/>
      </c>
      <c r="D53" s="24">
        <f>MAX(0,C53*$B$22/12)</f>
        <v/>
      </c>
      <c r="E53" s="24">
        <f>MAX(0,MIN(C53,$B$23-D53))</f>
        <v/>
      </c>
      <c r="F53" s="24">
        <f>MAX(0,C53-E53)</f>
        <v/>
      </c>
    </row>
    <row r="54">
      <c r="A54" s="9" t="n">
        <v>24</v>
      </c>
      <c r="B54" s="9" t="inlineStr">
        <is>
          <t>2027-11-01</t>
        </is>
      </c>
      <c r="C54" s="24">
        <f>F53</f>
        <v/>
      </c>
      <c r="D54" s="24">
        <f>MAX(0,C54*$B$22/12)</f>
        <v/>
      </c>
      <c r="E54" s="24">
        <f>MAX(0,MIN(C54,$B$23-D54))</f>
        <v/>
      </c>
      <c r="F54" s="24">
        <f>MAX(0,C54-E54)</f>
        <v/>
      </c>
    </row>
    <row r="55">
      <c r="A55" s="9" t="n">
        <v>25</v>
      </c>
      <c r="B55" s="9" t="inlineStr">
        <is>
          <t>2027-12-01</t>
        </is>
      </c>
      <c r="C55" s="24">
        <f>F54</f>
        <v/>
      </c>
      <c r="D55" s="24">
        <f>MAX(0,C55*$B$22/12)</f>
        <v/>
      </c>
      <c r="E55" s="24">
        <f>MAX(0,MIN(C55,$B$23-D55))</f>
        <v/>
      </c>
      <c r="F55" s="24">
        <f>MAX(0,C55-E55)</f>
        <v/>
      </c>
    </row>
    <row r="56">
      <c r="A56" s="9" t="n">
        <v>26</v>
      </c>
      <c r="B56" s="9" t="inlineStr">
        <is>
          <t>2028-01-01</t>
        </is>
      </c>
      <c r="C56" s="24">
        <f>F55</f>
        <v/>
      </c>
      <c r="D56" s="24">
        <f>MAX(0,C56*$B$22/12)</f>
        <v/>
      </c>
      <c r="E56" s="24">
        <f>MAX(0,MIN(C56,$B$23-D56))</f>
        <v/>
      </c>
      <c r="F56" s="24">
        <f>MAX(0,C56-E56)</f>
        <v/>
      </c>
    </row>
    <row r="57">
      <c r="A57" s="9" t="n">
        <v>27</v>
      </c>
      <c r="B57" s="9" t="inlineStr">
        <is>
          <t>2028-02-01</t>
        </is>
      </c>
      <c r="C57" s="24">
        <f>F56</f>
        <v/>
      </c>
      <c r="D57" s="24">
        <f>MAX(0,C57*$B$22/12)</f>
        <v/>
      </c>
      <c r="E57" s="24">
        <f>MAX(0,MIN(C57,$B$23-D57))</f>
        <v/>
      </c>
      <c r="F57" s="24">
        <f>MAX(0,C57-E57)</f>
        <v/>
      </c>
    </row>
    <row r="58">
      <c r="A58" s="9" t="n">
        <v>28</v>
      </c>
      <c r="B58" s="9" t="inlineStr">
        <is>
          <t>2028-03-01</t>
        </is>
      </c>
      <c r="C58" s="24">
        <f>F57</f>
        <v/>
      </c>
      <c r="D58" s="24">
        <f>MAX(0,C58*$B$22/12)</f>
        <v/>
      </c>
      <c r="E58" s="24">
        <f>MAX(0,MIN(C58,$B$23-D58))</f>
        <v/>
      </c>
      <c r="F58" s="24">
        <f>MAX(0,C58-E58)</f>
        <v/>
      </c>
    </row>
    <row r="59">
      <c r="A59" s="9" t="n">
        <v>29</v>
      </c>
      <c r="B59" s="9" t="inlineStr">
        <is>
          <t>2028-04-01</t>
        </is>
      </c>
      <c r="C59" s="24">
        <f>F58</f>
        <v/>
      </c>
      <c r="D59" s="24">
        <f>MAX(0,C59*$B$22/12)</f>
        <v/>
      </c>
      <c r="E59" s="24">
        <f>MAX(0,MIN(C59,$B$23-D59))</f>
        <v/>
      </c>
      <c r="F59" s="24">
        <f>MAX(0,C59-E59)</f>
        <v/>
      </c>
    </row>
    <row r="60">
      <c r="A60" s="9" t="n">
        <v>30</v>
      </c>
      <c r="B60" s="9" t="inlineStr">
        <is>
          <t>2028-05-01</t>
        </is>
      </c>
      <c r="C60" s="24">
        <f>F59</f>
        <v/>
      </c>
      <c r="D60" s="24">
        <f>MAX(0,C60*$B$22/12)</f>
        <v/>
      </c>
      <c r="E60" s="24">
        <f>MAX(0,MIN(C60,$B$23-D60))</f>
        <v/>
      </c>
      <c r="F60" s="24">
        <f>MAX(0,C60-E60)</f>
        <v/>
      </c>
    </row>
    <row r="61">
      <c r="A61" s="9" t="n">
        <v>31</v>
      </c>
      <c r="B61" s="9" t="inlineStr">
        <is>
          <t>2028-06-01</t>
        </is>
      </c>
      <c r="C61" s="24">
        <f>F60</f>
        <v/>
      </c>
      <c r="D61" s="24">
        <f>MAX(0,C61*$B$22/12)</f>
        <v/>
      </c>
      <c r="E61" s="24">
        <f>MAX(0,MIN(C61,$B$23-D61))</f>
        <v/>
      </c>
      <c r="F61" s="24">
        <f>MAX(0,C61-E61)</f>
        <v/>
      </c>
    </row>
    <row r="62">
      <c r="A62" s="9" t="n">
        <v>32</v>
      </c>
      <c r="B62" s="9" t="inlineStr">
        <is>
          <t>2028-07-01</t>
        </is>
      </c>
      <c r="C62" s="24">
        <f>F61</f>
        <v/>
      </c>
      <c r="D62" s="24">
        <f>MAX(0,C62*$B$22/12)</f>
        <v/>
      </c>
      <c r="E62" s="24">
        <f>MAX(0,MIN(C62,$B$23-D62))</f>
        <v/>
      </c>
      <c r="F62" s="24">
        <f>MAX(0,C62-E62)</f>
        <v/>
      </c>
    </row>
    <row r="63">
      <c r="A63" s="9" t="n">
        <v>33</v>
      </c>
      <c r="B63" s="9" t="inlineStr">
        <is>
          <t>2028-08-01</t>
        </is>
      </c>
      <c r="C63" s="24">
        <f>F62</f>
        <v/>
      </c>
      <c r="D63" s="24">
        <f>MAX(0,C63*$B$22/12)</f>
        <v/>
      </c>
      <c r="E63" s="24">
        <f>MAX(0,MIN(C63,$B$23-D63))</f>
        <v/>
      </c>
      <c r="F63" s="24">
        <f>MAX(0,C63-E63)</f>
        <v/>
      </c>
    </row>
    <row r="64">
      <c r="A64" s="9" t="n">
        <v>34</v>
      </c>
      <c r="B64" s="9" t="inlineStr">
        <is>
          <t>2028-09-01</t>
        </is>
      </c>
      <c r="C64" s="24">
        <f>F63</f>
        <v/>
      </c>
      <c r="D64" s="24">
        <f>MAX(0,C64*$B$22/12)</f>
        <v/>
      </c>
      <c r="E64" s="24">
        <f>MAX(0,MIN(C64,$B$23-D64))</f>
        <v/>
      </c>
      <c r="F64" s="24">
        <f>MAX(0,C64-E64)</f>
        <v/>
      </c>
    </row>
    <row r="65">
      <c r="A65" s="9" t="n">
        <v>35</v>
      </c>
      <c r="B65" s="9" t="inlineStr">
        <is>
          <t>2028-10-01</t>
        </is>
      </c>
      <c r="C65" s="24">
        <f>F64</f>
        <v/>
      </c>
      <c r="D65" s="24">
        <f>MAX(0,C65*$B$22/12)</f>
        <v/>
      </c>
      <c r="E65" s="24">
        <f>MAX(0,MIN(C65,$B$23-D65))</f>
        <v/>
      </c>
      <c r="F65" s="24">
        <f>MAX(0,C65-E65)</f>
        <v/>
      </c>
    </row>
    <row r="66">
      <c r="A66" s="9" t="n">
        <v>36</v>
      </c>
      <c r="B66" s="9" t="inlineStr">
        <is>
          <t>2028-11-01</t>
        </is>
      </c>
      <c r="C66" s="24">
        <f>F65</f>
        <v/>
      </c>
      <c r="D66" s="24">
        <f>MAX(0,C66*$B$22/12)</f>
        <v/>
      </c>
      <c r="E66" s="24">
        <f>MAX(0,MIN(C66,$B$23-D66))</f>
        <v/>
      </c>
      <c r="F66" s="24">
        <f>MAX(0,C66-E66)</f>
        <v/>
      </c>
    </row>
    <row r="67">
      <c r="A67" s="9" t="n">
        <v>37</v>
      </c>
      <c r="B67" s="9" t="inlineStr">
        <is>
          <t>2028-12-01</t>
        </is>
      </c>
      <c r="C67" s="24">
        <f>F66</f>
        <v/>
      </c>
      <c r="D67" s="24">
        <f>MAX(0,C67*$B$22/12)</f>
        <v/>
      </c>
      <c r="E67" s="24">
        <f>MAX(0,MIN(C67,$B$23-D67))</f>
        <v/>
      </c>
      <c r="F67" s="24">
        <f>MAX(0,C67-E67)</f>
        <v/>
      </c>
    </row>
    <row r="68">
      <c r="A68" s="9" t="n">
        <v>38</v>
      </c>
      <c r="B68" s="9" t="inlineStr">
        <is>
          <t>2029-01-01</t>
        </is>
      </c>
      <c r="C68" s="24">
        <f>F67</f>
        <v/>
      </c>
      <c r="D68" s="24">
        <f>MAX(0,C68*$B$22/12)</f>
        <v/>
      </c>
      <c r="E68" s="24">
        <f>MAX(0,MIN(C68,$B$23-D68))</f>
        <v/>
      </c>
      <c r="F68" s="24">
        <f>MAX(0,C68-E68)</f>
        <v/>
      </c>
    </row>
    <row r="69">
      <c r="A69" s="9" t="n">
        <v>39</v>
      </c>
      <c r="B69" s="9" t="inlineStr">
        <is>
          <t>2029-02-01</t>
        </is>
      </c>
      <c r="C69" s="24">
        <f>F68</f>
        <v/>
      </c>
      <c r="D69" s="24">
        <f>MAX(0,C69*$B$22/12)</f>
        <v/>
      </c>
      <c r="E69" s="24">
        <f>MAX(0,MIN(C69,$B$23-D69))</f>
        <v/>
      </c>
      <c r="F69" s="24">
        <f>MAX(0,C69-E69)</f>
        <v/>
      </c>
    </row>
    <row r="70">
      <c r="A70" s="9" t="n">
        <v>40</v>
      </c>
      <c r="B70" s="9" t="inlineStr">
        <is>
          <t>2029-03-01</t>
        </is>
      </c>
      <c r="C70" s="24">
        <f>F69</f>
        <v/>
      </c>
      <c r="D70" s="24">
        <f>MAX(0,C70*$B$22/12)</f>
        <v/>
      </c>
      <c r="E70" s="24">
        <f>MAX(0,MIN(C70,$B$23-D70))</f>
        <v/>
      </c>
      <c r="F70" s="24">
        <f>MAX(0,C70-E70)</f>
        <v/>
      </c>
    </row>
    <row r="71">
      <c r="A71" s="9" t="n">
        <v>41</v>
      </c>
      <c r="B71" s="9" t="inlineStr">
        <is>
          <t>2029-04-01</t>
        </is>
      </c>
      <c r="C71" s="24">
        <f>F70</f>
        <v/>
      </c>
      <c r="D71" s="24">
        <f>MAX(0,C71*$B$22/12)</f>
        <v/>
      </c>
      <c r="E71" s="24">
        <f>MAX(0,MIN(C71,$B$23-D71))</f>
        <v/>
      </c>
      <c r="F71" s="24">
        <f>MAX(0,C71-E71)</f>
        <v/>
      </c>
    </row>
    <row r="72">
      <c r="A72" s="9" t="n">
        <v>42</v>
      </c>
      <c r="B72" s="9" t="inlineStr">
        <is>
          <t>2029-05-01</t>
        </is>
      </c>
      <c r="C72" s="24">
        <f>F71</f>
        <v/>
      </c>
      <c r="D72" s="24">
        <f>MAX(0,C72*$B$22/12)</f>
        <v/>
      </c>
      <c r="E72" s="24">
        <f>MAX(0,MIN(C72,$B$23-D72))</f>
        <v/>
      </c>
      <c r="F72" s="24">
        <f>MAX(0,C72-E72)</f>
        <v/>
      </c>
    </row>
    <row r="73">
      <c r="A73" s="9" t="n">
        <v>43</v>
      </c>
      <c r="B73" s="9" t="inlineStr">
        <is>
          <t>2029-06-01</t>
        </is>
      </c>
      <c r="C73" s="24">
        <f>F72</f>
        <v/>
      </c>
      <c r="D73" s="24">
        <f>MAX(0,C73*$B$22/12)</f>
        <v/>
      </c>
      <c r="E73" s="24">
        <f>MAX(0,MIN(C73,$B$23-D73))</f>
        <v/>
      </c>
      <c r="F73" s="24">
        <f>MAX(0,C73-E73)</f>
        <v/>
      </c>
    </row>
    <row r="74">
      <c r="A74" s="9" t="n">
        <v>44</v>
      </c>
      <c r="B74" s="9" t="inlineStr">
        <is>
          <t>2029-07-01</t>
        </is>
      </c>
      <c r="C74" s="24">
        <f>F73</f>
        <v/>
      </c>
      <c r="D74" s="24">
        <f>MAX(0,C74*$B$22/12)</f>
        <v/>
      </c>
      <c r="E74" s="24">
        <f>MAX(0,MIN(C74,$B$23-D74))</f>
        <v/>
      </c>
      <c r="F74" s="24">
        <f>MAX(0,C74-E74)</f>
        <v/>
      </c>
    </row>
    <row r="75">
      <c r="A75" s="9" t="n">
        <v>45</v>
      </c>
      <c r="B75" s="9" t="inlineStr">
        <is>
          <t>2029-08-01</t>
        </is>
      </c>
      <c r="C75" s="24">
        <f>F74</f>
        <v/>
      </c>
      <c r="D75" s="24">
        <f>MAX(0,C75*$B$22/12)</f>
        <v/>
      </c>
      <c r="E75" s="24">
        <f>MAX(0,MIN(C75,$B$23-D75))</f>
        <v/>
      </c>
      <c r="F75" s="24">
        <f>MAX(0,C75-E75)</f>
        <v/>
      </c>
    </row>
    <row r="76">
      <c r="A76" s="9" t="n">
        <v>46</v>
      </c>
      <c r="B76" s="9" t="inlineStr">
        <is>
          <t>2029-09-01</t>
        </is>
      </c>
      <c r="C76" s="24">
        <f>F75</f>
        <v/>
      </c>
      <c r="D76" s="24">
        <f>MAX(0,C76*$B$22/12)</f>
        <v/>
      </c>
      <c r="E76" s="24">
        <f>MAX(0,MIN(C76,$B$23-D76))</f>
        <v/>
      </c>
      <c r="F76" s="24">
        <f>MAX(0,C76-E76)</f>
        <v/>
      </c>
    </row>
    <row r="77">
      <c r="A77" s="9" t="n">
        <v>47</v>
      </c>
      <c r="B77" s="9" t="inlineStr">
        <is>
          <t>2029-10-01</t>
        </is>
      </c>
      <c r="C77" s="24">
        <f>F76</f>
        <v/>
      </c>
      <c r="D77" s="24">
        <f>MAX(0,C77*$B$22/12)</f>
        <v/>
      </c>
      <c r="E77" s="24">
        <f>MAX(0,MIN(C77,$B$23-D77))</f>
        <v/>
      </c>
      <c r="F77" s="24">
        <f>MAX(0,C77-E77)</f>
        <v/>
      </c>
    </row>
    <row r="78">
      <c r="A78" s="9" t="n">
        <v>48</v>
      </c>
      <c r="B78" s="9" t="inlineStr">
        <is>
          <t>2029-11-01</t>
        </is>
      </c>
      <c r="C78" s="24">
        <f>F77</f>
        <v/>
      </c>
      <c r="D78" s="24">
        <f>MAX(0,C78*$B$22/12)</f>
        <v/>
      </c>
      <c r="E78" s="24">
        <f>MAX(0,MIN(C78,$B$23-D78))</f>
        <v/>
      </c>
      <c r="F78" s="24">
        <f>MAX(0,C78-E78)</f>
        <v/>
      </c>
    </row>
    <row r="79">
      <c r="A79" s="9" t="n">
        <v>49</v>
      </c>
      <c r="B79" s="9" t="inlineStr">
        <is>
          <t>2029-12-01</t>
        </is>
      </c>
      <c r="C79" s="24">
        <f>F78</f>
        <v/>
      </c>
      <c r="D79" s="24">
        <f>MAX(0,C79*$B$22/12)</f>
        <v/>
      </c>
      <c r="E79" s="24">
        <f>MAX(0,MIN(C79,$B$23-D79))</f>
        <v/>
      </c>
      <c r="F79" s="24">
        <f>MAX(0,C79-E79)</f>
        <v/>
      </c>
    </row>
    <row r="80">
      <c r="A80" s="9" t="n">
        <v>50</v>
      </c>
      <c r="B80" s="9" t="inlineStr">
        <is>
          <t>2030-01-01</t>
        </is>
      </c>
      <c r="C80" s="24">
        <f>F79</f>
        <v/>
      </c>
      <c r="D80" s="24">
        <f>MAX(0,C80*$B$22/12)</f>
        <v/>
      </c>
      <c r="E80" s="24">
        <f>MAX(0,MIN(C80,$B$23-D80))</f>
        <v/>
      </c>
      <c r="F80" s="24">
        <f>MAX(0,C80-E80)</f>
        <v/>
      </c>
    </row>
    <row r="81">
      <c r="A81" s="9" t="n">
        <v>51</v>
      </c>
      <c r="B81" s="9" t="inlineStr">
        <is>
          <t>2030-02-01</t>
        </is>
      </c>
      <c r="C81" s="24">
        <f>F80</f>
        <v/>
      </c>
      <c r="D81" s="24">
        <f>MAX(0,C81*$B$22/12)</f>
        <v/>
      </c>
      <c r="E81" s="24">
        <f>MAX(0,MIN(C81,$B$23-D81))</f>
        <v/>
      </c>
      <c r="F81" s="24">
        <f>MAX(0,C81-E81)</f>
        <v/>
      </c>
    </row>
    <row r="82">
      <c r="A82" s="9" t="n">
        <v>52</v>
      </c>
      <c r="B82" s="9" t="inlineStr">
        <is>
          <t>2030-03-01</t>
        </is>
      </c>
      <c r="C82" s="24">
        <f>F81</f>
        <v/>
      </c>
      <c r="D82" s="24">
        <f>MAX(0,C82*$B$22/12)</f>
        <v/>
      </c>
      <c r="E82" s="24">
        <f>MAX(0,MIN(C82,$B$23-D82))</f>
        <v/>
      </c>
      <c r="F82" s="24">
        <f>MAX(0,C82-E82)</f>
        <v/>
      </c>
    </row>
    <row r="83">
      <c r="A83" s="9" t="n">
        <v>53</v>
      </c>
      <c r="B83" s="9" t="inlineStr">
        <is>
          <t>2030-04-01</t>
        </is>
      </c>
      <c r="C83" s="24">
        <f>F82</f>
        <v/>
      </c>
      <c r="D83" s="24">
        <f>MAX(0,C83*$B$22/12)</f>
        <v/>
      </c>
      <c r="E83" s="24">
        <f>MAX(0,MIN(C83,$B$23-D83))</f>
        <v/>
      </c>
      <c r="F83" s="24">
        <f>MAX(0,C83-E83)</f>
        <v/>
      </c>
    </row>
    <row r="84">
      <c r="A84" s="9" t="n">
        <v>54</v>
      </c>
      <c r="B84" s="9" t="inlineStr">
        <is>
          <t>2030-05-01</t>
        </is>
      </c>
      <c r="C84" s="24">
        <f>F83</f>
        <v/>
      </c>
      <c r="D84" s="24">
        <f>MAX(0,C84*$B$22/12)</f>
        <v/>
      </c>
      <c r="E84" s="24">
        <f>MAX(0,MIN(C84,$B$23-D84))</f>
        <v/>
      </c>
      <c r="F84" s="24">
        <f>MAX(0,C84-E84)</f>
        <v/>
      </c>
    </row>
    <row r="85">
      <c r="A85" s="9" t="n">
        <v>55</v>
      </c>
      <c r="B85" s="9" t="inlineStr">
        <is>
          <t>2030-06-01</t>
        </is>
      </c>
      <c r="C85" s="24">
        <f>F84</f>
        <v/>
      </c>
      <c r="D85" s="24">
        <f>MAX(0,C85*$B$22/12)</f>
        <v/>
      </c>
      <c r="E85" s="24">
        <f>MAX(0,MIN(C85,$B$23-D85))</f>
        <v/>
      </c>
      <c r="F85" s="24">
        <f>MAX(0,C85-E85)</f>
        <v/>
      </c>
    </row>
    <row r="86">
      <c r="A86" s="9" t="n">
        <v>56</v>
      </c>
      <c r="B86" s="9" t="inlineStr">
        <is>
          <t>2030-07-01</t>
        </is>
      </c>
      <c r="C86" s="24">
        <f>F85</f>
        <v/>
      </c>
      <c r="D86" s="24">
        <f>MAX(0,C86*$B$22/12)</f>
        <v/>
      </c>
      <c r="E86" s="24">
        <f>MAX(0,MIN(C86,$B$23-D86))</f>
        <v/>
      </c>
      <c r="F86" s="24">
        <f>MAX(0,C86-E86)</f>
        <v/>
      </c>
    </row>
    <row r="87">
      <c r="A87" s="9" t="n">
        <v>57</v>
      </c>
      <c r="B87" s="9" t="inlineStr">
        <is>
          <t>2030-08-01</t>
        </is>
      </c>
      <c r="C87" s="24">
        <f>F86</f>
        <v/>
      </c>
      <c r="D87" s="24">
        <f>MAX(0,C87*$B$22/12)</f>
        <v/>
      </c>
      <c r="E87" s="24">
        <f>MAX(0,MIN(C87,$B$23-D87))</f>
        <v/>
      </c>
      <c r="F87" s="24">
        <f>MAX(0,C87-E87)</f>
        <v/>
      </c>
    </row>
    <row r="88">
      <c r="A88" s="20" t="inlineStr">
        <is>
          <t>TOTAL</t>
        </is>
      </c>
      <c r="D88" s="25">
        <f>SUM(D31:D87)</f>
        <v/>
      </c>
      <c r="E88" s="25">
        <f>SUM(E31:E87)</f>
        <v/>
      </c>
    </row>
    <row r="91">
      <c r="A91" s="15" t="inlineStr">
        <is>
          <t>LOAN 2: CCG 6 Trucks 814-819</t>
        </is>
      </c>
    </row>
    <row r="92">
      <c r="A92" t="inlineStr">
        <is>
          <t>Loan ID:</t>
        </is>
      </c>
      <c r="B92" s="2" t="inlineStr">
        <is>
          <t>05-2990-001-000-00</t>
        </is>
      </c>
    </row>
    <row r="93">
      <c r="A93" t="inlineStr">
        <is>
          <t>Account:</t>
        </is>
      </c>
      <c r="B93" s="2" t="inlineStr">
        <is>
          <t>46874</t>
        </is>
      </c>
    </row>
    <row r="94">
      <c r="A94" t="inlineStr">
        <is>
          <t>Opening Balance:</t>
        </is>
      </c>
      <c r="B94" s="22" t="n">
        <v>1128000</v>
      </c>
    </row>
    <row r="95">
      <c r="A95" t="inlineStr">
        <is>
          <t>Remaining Balance (Nov 2025):</t>
        </is>
      </c>
      <c r="B95" s="22" t="n">
        <v>1065052</v>
      </c>
    </row>
    <row r="96">
      <c r="A96" t="inlineStr">
        <is>
          <t>Annual Interest Rate:</t>
        </is>
      </c>
      <c r="B96" s="4" t="n">
        <v>0.105</v>
      </c>
    </row>
    <row r="97">
      <c r="A97" t="inlineStr">
        <is>
          <t>Monthly Payment:</t>
        </is>
      </c>
      <c r="B97" s="22" t="n">
        <v>24291</v>
      </c>
    </row>
    <row r="98">
      <c r="A98" t="inlineStr">
        <is>
          <t>Origination Date:</t>
        </is>
      </c>
      <c r="B98" s="2" t="inlineStr">
        <is>
          <t>2025-11-10</t>
        </is>
      </c>
    </row>
    <row r="99">
      <c r="A99" t="inlineStr">
        <is>
          <t>Maturity Date:</t>
        </is>
      </c>
      <c r="B99" s="2" t="inlineStr">
        <is>
          <t>2030-08-10</t>
        </is>
      </c>
    </row>
    <row r="100">
      <c r="A100" t="inlineStr">
        <is>
          <t>Loan Type:</t>
        </is>
      </c>
      <c r="B100" s="2" t="inlineStr">
        <is>
          <t>AMORTIZING</t>
        </is>
      </c>
    </row>
    <row r="101">
      <c r="A101" t="inlineStr">
        <is>
          <t>Use / Collateral:</t>
        </is>
      </c>
      <c r="B101" s="2" t="inlineStr">
        <is>
          <t>Equipment (Semi trucks)</t>
        </is>
      </c>
    </row>
    <row r="103">
      <c r="A103" s="17" t="inlineStr">
        <is>
          <t>AMORTIZATION SCHEDULE</t>
        </is>
      </c>
    </row>
    <row r="104">
      <c r="A104" s="23" t="inlineStr">
        <is>
          <t>Month #</t>
        </is>
      </c>
      <c r="B104" s="23" t="inlineStr">
        <is>
          <t>Date</t>
        </is>
      </c>
      <c r="C104" s="23" t="inlineStr">
        <is>
          <t>Opening Balance</t>
        </is>
      </c>
      <c r="D104" s="23" t="inlineStr">
        <is>
          <t>Interest</t>
        </is>
      </c>
      <c r="E104" s="23" t="inlineStr">
        <is>
          <t>Principal</t>
        </is>
      </c>
      <c r="F104" s="23" t="inlineStr">
        <is>
          <t>Closing Balance</t>
        </is>
      </c>
    </row>
    <row r="105">
      <c r="A105" s="9" t="n">
        <v>1</v>
      </c>
      <c r="B105" s="9" t="inlineStr">
        <is>
          <t>2025-12-01</t>
        </is>
      </c>
      <c r="C105" s="24">
        <f>B95</f>
        <v/>
      </c>
      <c r="D105" s="24">
        <f>MAX(0,C105*$B$96/12)</f>
        <v/>
      </c>
      <c r="E105" s="24">
        <f>MAX(0,MIN(C105,$B$97-D105))</f>
        <v/>
      </c>
      <c r="F105" s="24">
        <f>MAX(0,C105-E105)</f>
        <v/>
      </c>
    </row>
    <row r="106">
      <c r="A106" s="9" t="n">
        <v>2</v>
      </c>
      <c r="B106" s="9" t="inlineStr">
        <is>
          <t>2026-01-01</t>
        </is>
      </c>
      <c r="C106" s="24">
        <f>F105</f>
        <v/>
      </c>
      <c r="D106" s="24">
        <f>MAX(0,C106*$B$96/12)</f>
        <v/>
      </c>
      <c r="E106" s="24">
        <f>MAX(0,MIN(C106,$B$97-D106))</f>
        <v/>
      </c>
      <c r="F106" s="24">
        <f>MAX(0,C106-E106)</f>
        <v/>
      </c>
    </row>
    <row r="107">
      <c r="A107" s="9" t="n">
        <v>3</v>
      </c>
      <c r="B107" s="9" t="inlineStr">
        <is>
          <t>2026-02-01</t>
        </is>
      </c>
      <c r="C107" s="24">
        <f>F106</f>
        <v/>
      </c>
      <c r="D107" s="24">
        <f>MAX(0,C107*$B$96/12)</f>
        <v/>
      </c>
      <c r="E107" s="24">
        <f>MAX(0,MIN(C107,$B$97-D107))</f>
        <v/>
      </c>
      <c r="F107" s="24">
        <f>MAX(0,C107-E107)</f>
        <v/>
      </c>
    </row>
    <row r="108">
      <c r="A108" s="9" t="n">
        <v>4</v>
      </c>
      <c r="B108" s="9" t="inlineStr">
        <is>
          <t>2026-03-01</t>
        </is>
      </c>
      <c r="C108" s="24">
        <f>F107</f>
        <v/>
      </c>
      <c r="D108" s="24">
        <f>MAX(0,C108*$B$96/12)</f>
        <v/>
      </c>
      <c r="E108" s="24">
        <f>MAX(0,MIN(C108,$B$97-D108))</f>
        <v/>
      </c>
      <c r="F108" s="24">
        <f>MAX(0,C108-E108)</f>
        <v/>
      </c>
    </row>
    <row r="109">
      <c r="A109" s="9" t="n">
        <v>5</v>
      </c>
      <c r="B109" s="9" t="inlineStr">
        <is>
          <t>2026-04-01</t>
        </is>
      </c>
      <c r="C109" s="24">
        <f>F108</f>
        <v/>
      </c>
      <c r="D109" s="24">
        <f>MAX(0,C109*$B$96/12)</f>
        <v/>
      </c>
      <c r="E109" s="24">
        <f>MAX(0,MIN(C109,$B$97-D109))</f>
        <v/>
      </c>
      <c r="F109" s="24">
        <f>MAX(0,C109-E109)</f>
        <v/>
      </c>
    </row>
    <row r="110">
      <c r="A110" s="9" t="n">
        <v>6</v>
      </c>
      <c r="B110" s="9" t="inlineStr">
        <is>
          <t>2026-05-01</t>
        </is>
      </c>
      <c r="C110" s="24">
        <f>F109</f>
        <v/>
      </c>
      <c r="D110" s="24">
        <f>MAX(0,C110*$B$96/12)</f>
        <v/>
      </c>
      <c r="E110" s="24">
        <f>MAX(0,MIN(C110,$B$97-D110))</f>
        <v/>
      </c>
      <c r="F110" s="24">
        <f>MAX(0,C110-E110)</f>
        <v/>
      </c>
    </row>
    <row r="111">
      <c r="A111" s="9" t="n">
        <v>7</v>
      </c>
      <c r="B111" s="9" t="inlineStr">
        <is>
          <t>2026-06-01</t>
        </is>
      </c>
      <c r="C111" s="24">
        <f>F110</f>
        <v/>
      </c>
      <c r="D111" s="24">
        <f>MAX(0,C111*$B$96/12)</f>
        <v/>
      </c>
      <c r="E111" s="24">
        <f>MAX(0,MIN(C111,$B$97-D111))</f>
        <v/>
      </c>
      <c r="F111" s="24">
        <f>MAX(0,C111-E111)</f>
        <v/>
      </c>
    </row>
    <row r="112">
      <c r="A112" s="9" t="n">
        <v>8</v>
      </c>
      <c r="B112" s="9" t="inlineStr">
        <is>
          <t>2026-07-01</t>
        </is>
      </c>
      <c r="C112" s="24">
        <f>F111</f>
        <v/>
      </c>
      <c r="D112" s="24">
        <f>MAX(0,C112*$B$96/12)</f>
        <v/>
      </c>
      <c r="E112" s="24">
        <f>MAX(0,MIN(C112,$B$97-D112))</f>
        <v/>
      </c>
      <c r="F112" s="24">
        <f>MAX(0,C112-E112)</f>
        <v/>
      </c>
    </row>
    <row r="113">
      <c r="A113" s="9" t="n">
        <v>9</v>
      </c>
      <c r="B113" s="9" t="inlineStr">
        <is>
          <t>2026-08-01</t>
        </is>
      </c>
      <c r="C113" s="24">
        <f>F112</f>
        <v/>
      </c>
      <c r="D113" s="24">
        <f>MAX(0,C113*$B$96/12)</f>
        <v/>
      </c>
      <c r="E113" s="24">
        <f>MAX(0,MIN(C113,$B$97-D113))</f>
        <v/>
      </c>
      <c r="F113" s="24">
        <f>MAX(0,C113-E113)</f>
        <v/>
      </c>
    </row>
    <row r="114">
      <c r="A114" s="9" t="n">
        <v>10</v>
      </c>
      <c r="B114" s="9" t="inlineStr">
        <is>
          <t>2026-09-01</t>
        </is>
      </c>
      <c r="C114" s="24">
        <f>F113</f>
        <v/>
      </c>
      <c r="D114" s="24">
        <f>MAX(0,C114*$B$96/12)</f>
        <v/>
      </c>
      <c r="E114" s="24">
        <f>MAX(0,MIN(C114,$B$97-D114))</f>
        <v/>
      </c>
      <c r="F114" s="24">
        <f>MAX(0,C114-E114)</f>
        <v/>
      </c>
    </row>
    <row r="115">
      <c r="A115" s="9" t="n">
        <v>11</v>
      </c>
      <c r="B115" s="9" t="inlineStr">
        <is>
          <t>2026-10-01</t>
        </is>
      </c>
      <c r="C115" s="24">
        <f>F114</f>
        <v/>
      </c>
      <c r="D115" s="24">
        <f>MAX(0,C115*$B$96/12)</f>
        <v/>
      </c>
      <c r="E115" s="24">
        <f>MAX(0,MIN(C115,$B$97-D115))</f>
        <v/>
      </c>
      <c r="F115" s="24">
        <f>MAX(0,C115-E115)</f>
        <v/>
      </c>
    </row>
    <row r="116">
      <c r="A116" s="9" t="n">
        <v>12</v>
      </c>
      <c r="B116" s="9" t="inlineStr">
        <is>
          <t>2026-11-01</t>
        </is>
      </c>
      <c r="C116" s="24">
        <f>F115</f>
        <v/>
      </c>
      <c r="D116" s="24">
        <f>MAX(0,C116*$B$96/12)</f>
        <v/>
      </c>
      <c r="E116" s="24">
        <f>MAX(0,MIN(C116,$B$97-D116))</f>
        <v/>
      </c>
      <c r="F116" s="24">
        <f>MAX(0,C116-E116)</f>
        <v/>
      </c>
    </row>
    <row r="117">
      <c r="A117" s="9" t="n">
        <v>13</v>
      </c>
      <c r="B117" s="9" t="inlineStr">
        <is>
          <t>2026-12-01</t>
        </is>
      </c>
      <c r="C117" s="24">
        <f>F116</f>
        <v/>
      </c>
      <c r="D117" s="24">
        <f>MAX(0,C117*$B$96/12)</f>
        <v/>
      </c>
      <c r="E117" s="24">
        <f>MAX(0,MIN(C117,$B$97-D117))</f>
        <v/>
      </c>
      <c r="F117" s="24">
        <f>MAX(0,C117-E117)</f>
        <v/>
      </c>
    </row>
    <row r="118">
      <c r="A118" s="9" t="n">
        <v>14</v>
      </c>
      <c r="B118" s="9" t="inlineStr">
        <is>
          <t>2027-01-01</t>
        </is>
      </c>
      <c r="C118" s="24">
        <f>F117</f>
        <v/>
      </c>
      <c r="D118" s="24">
        <f>MAX(0,C118*$B$96/12)</f>
        <v/>
      </c>
      <c r="E118" s="24">
        <f>MAX(0,MIN(C118,$B$97-D118))</f>
        <v/>
      </c>
      <c r="F118" s="24">
        <f>MAX(0,C118-E118)</f>
        <v/>
      </c>
    </row>
    <row r="119">
      <c r="A119" s="9" t="n">
        <v>15</v>
      </c>
      <c r="B119" s="9" t="inlineStr">
        <is>
          <t>2027-02-01</t>
        </is>
      </c>
      <c r="C119" s="24">
        <f>F118</f>
        <v/>
      </c>
      <c r="D119" s="24">
        <f>MAX(0,C119*$B$96/12)</f>
        <v/>
      </c>
      <c r="E119" s="24">
        <f>MAX(0,MIN(C119,$B$97-D119))</f>
        <v/>
      </c>
      <c r="F119" s="24">
        <f>MAX(0,C119-E119)</f>
        <v/>
      </c>
    </row>
    <row r="120">
      <c r="A120" s="9" t="n">
        <v>16</v>
      </c>
      <c r="B120" s="9" t="inlineStr">
        <is>
          <t>2027-03-01</t>
        </is>
      </c>
      <c r="C120" s="24">
        <f>F119</f>
        <v/>
      </c>
      <c r="D120" s="24">
        <f>MAX(0,C120*$B$96/12)</f>
        <v/>
      </c>
      <c r="E120" s="24">
        <f>MAX(0,MIN(C120,$B$97-D120))</f>
        <v/>
      </c>
      <c r="F120" s="24">
        <f>MAX(0,C120-E120)</f>
        <v/>
      </c>
    </row>
    <row r="121">
      <c r="A121" s="9" t="n">
        <v>17</v>
      </c>
      <c r="B121" s="9" t="inlineStr">
        <is>
          <t>2027-04-01</t>
        </is>
      </c>
      <c r="C121" s="24">
        <f>F120</f>
        <v/>
      </c>
      <c r="D121" s="24">
        <f>MAX(0,C121*$B$96/12)</f>
        <v/>
      </c>
      <c r="E121" s="24">
        <f>MAX(0,MIN(C121,$B$97-D121))</f>
        <v/>
      </c>
      <c r="F121" s="24">
        <f>MAX(0,C121-E121)</f>
        <v/>
      </c>
    </row>
    <row r="122">
      <c r="A122" s="9" t="n">
        <v>18</v>
      </c>
      <c r="B122" s="9" t="inlineStr">
        <is>
          <t>2027-05-01</t>
        </is>
      </c>
      <c r="C122" s="24">
        <f>F121</f>
        <v/>
      </c>
      <c r="D122" s="24">
        <f>MAX(0,C122*$B$96/12)</f>
        <v/>
      </c>
      <c r="E122" s="24">
        <f>MAX(0,MIN(C122,$B$97-D122))</f>
        <v/>
      </c>
      <c r="F122" s="24">
        <f>MAX(0,C122-E122)</f>
        <v/>
      </c>
    </row>
    <row r="123">
      <c r="A123" s="9" t="n">
        <v>19</v>
      </c>
      <c r="B123" s="9" t="inlineStr">
        <is>
          <t>2027-06-01</t>
        </is>
      </c>
      <c r="C123" s="24">
        <f>F122</f>
        <v/>
      </c>
      <c r="D123" s="24">
        <f>MAX(0,C123*$B$96/12)</f>
        <v/>
      </c>
      <c r="E123" s="24">
        <f>MAX(0,MIN(C123,$B$97-D123))</f>
        <v/>
      </c>
      <c r="F123" s="24">
        <f>MAX(0,C123-E123)</f>
        <v/>
      </c>
    </row>
    <row r="124">
      <c r="A124" s="9" t="n">
        <v>20</v>
      </c>
      <c r="B124" s="9" t="inlineStr">
        <is>
          <t>2027-07-01</t>
        </is>
      </c>
      <c r="C124" s="24">
        <f>F123</f>
        <v/>
      </c>
      <c r="D124" s="24">
        <f>MAX(0,C124*$B$96/12)</f>
        <v/>
      </c>
      <c r="E124" s="24">
        <f>MAX(0,MIN(C124,$B$97-D124))</f>
        <v/>
      </c>
      <c r="F124" s="24">
        <f>MAX(0,C124-E124)</f>
        <v/>
      </c>
    </row>
    <row r="125">
      <c r="A125" s="9" t="n">
        <v>21</v>
      </c>
      <c r="B125" s="9" t="inlineStr">
        <is>
          <t>2027-08-01</t>
        </is>
      </c>
      <c r="C125" s="24">
        <f>F124</f>
        <v/>
      </c>
      <c r="D125" s="24">
        <f>MAX(0,C125*$B$96/12)</f>
        <v/>
      </c>
      <c r="E125" s="24">
        <f>MAX(0,MIN(C125,$B$97-D125))</f>
        <v/>
      </c>
      <c r="F125" s="24">
        <f>MAX(0,C125-E125)</f>
        <v/>
      </c>
    </row>
    <row r="126">
      <c r="A126" s="9" t="n">
        <v>22</v>
      </c>
      <c r="B126" s="9" t="inlineStr">
        <is>
          <t>2027-09-01</t>
        </is>
      </c>
      <c r="C126" s="24">
        <f>F125</f>
        <v/>
      </c>
      <c r="D126" s="24">
        <f>MAX(0,C126*$B$96/12)</f>
        <v/>
      </c>
      <c r="E126" s="24">
        <f>MAX(0,MIN(C126,$B$97-D126))</f>
        <v/>
      </c>
      <c r="F126" s="24">
        <f>MAX(0,C126-E126)</f>
        <v/>
      </c>
    </row>
    <row r="127">
      <c r="A127" s="9" t="n">
        <v>23</v>
      </c>
      <c r="B127" s="9" t="inlineStr">
        <is>
          <t>2027-10-01</t>
        </is>
      </c>
      <c r="C127" s="24">
        <f>F126</f>
        <v/>
      </c>
      <c r="D127" s="24">
        <f>MAX(0,C127*$B$96/12)</f>
        <v/>
      </c>
      <c r="E127" s="24">
        <f>MAX(0,MIN(C127,$B$97-D127))</f>
        <v/>
      </c>
      <c r="F127" s="24">
        <f>MAX(0,C127-E127)</f>
        <v/>
      </c>
    </row>
    <row r="128">
      <c r="A128" s="9" t="n">
        <v>24</v>
      </c>
      <c r="B128" s="9" t="inlineStr">
        <is>
          <t>2027-11-01</t>
        </is>
      </c>
      <c r="C128" s="24">
        <f>F127</f>
        <v/>
      </c>
      <c r="D128" s="24">
        <f>MAX(0,C128*$B$96/12)</f>
        <v/>
      </c>
      <c r="E128" s="24">
        <f>MAX(0,MIN(C128,$B$97-D128))</f>
        <v/>
      </c>
      <c r="F128" s="24">
        <f>MAX(0,C128-E128)</f>
        <v/>
      </c>
    </row>
    <row r="129">
      <c r="A129" s="9" t="n">
        <v>25</v>
      </c>
      <c r="B129" s="9" t="inlineStr">
        <is>
          <t>2027-12-01</t>
        </is>
      </c>
      <c r="C129" s="24">
        <f>F128</f>
        <v/>
      </c>
      <c r="D129" s="24">
        <f>MAX(0,C129*$B$96/12)</f>
        <v/>
      </c>
      <c r="E129" s="24">
        <f>MAX(0,MIN(C129,$B$97-D129))</f>
        <v/>
      </c>
      <c r="F129" s="24">
        <f>MAX(0,C129-E129)</f>
        <v/>
      </c>
    </row>
    <row r="130">
      <c r="A130" s="9" t="n">
        <v>26</v>
      </c>
      <c r="B130" s="9" t="inlineStr">
        <is>
          <t>2028-01-01</t>
        </is>
      </c>
      <c r="C130" s="24">
        <f>F129</f>
        <v/>
      </c>
      <c r="D130" s="24">
        <f>MAX(0,C130*$B$96/12)</f>
        <v/>
      </c>
      <c r="E130" s="24">
        <f>MAX(0,MIN(C130,$B$97-D130))</f>
        <v/>
      </c>
      <c r="F130" s="24">
        <f>MAX(0,C130-E130)</f>
        <v/>
      </c>
    </row>
    <row r="131">
      <c r="A131" s="9" t="n">
        <v>27</v>
      </c>
      <c r="B131" s="9" t="inlineStr">
        <is>
          <t>2028-02-01</t>
        </is>
      </c>
      <c r="C131" s="24">
        <f>F130</f>
        <v/>
      </c>
      <c r="D131" s="24">
        <f>MAX(0,C131*$B$96/12)</f>
        <v/>
      </c>
      <c r="E131" s="24">
        <f>MAX(0,MIN(C131,$B$97-D131))</f>
        <v/>
      </c>
      <c r="F131" s="24">
        <f>MAX(0,C131-E131)</f>
        <v/>
      </c>
    </row>
    <row r="132">
      <c r="A132" s="9" t="n">
        <v>28</v>
      </c>
      <c r="B132" s="9" t="inlineStr">
        <is>
          <t>2028-03-01</t>
        </is>
      </c>
      <c r="C132" s="24">
        <f>F131</f>
        <v/>
      </c>
      <c r="D132" s="24">
        <f>MAX(0,C132*$B$96/12)</f>
        <v/>
      </c>
      <c r="E132" s="24">
        <f>MAX(0,MIN(C132,$B$97-D132))</f>
        <v/>
      </c>
      <c r="F132" s="24">
        <f>MAX(0,C132-E132)</f>
        <v/>
      </c>
    </row>
    <row r="133">
      <c r="A133" s="9" t="n">
        <v>29</v>
      </c>
      <c r="B133" s="9" t="inlineStr">
        <is>
          <t>2028-04-01</t>
        </is>
      </c>
      <c r="C133" s="24">
        <f>F132</f>
        <v/>
      </c>
      <c r="D133" s="24">
        <f>MAX(0,C133*$B$96/12)</f>
        <v/>
      </c>
      <c r="E133" s="24">
        <f>MAX(0,MIN(C133,$B$97-D133))</f>
        <v/>
      </c>
      <c r="F133" s="24">
        <f>MAX(0,C133-E133)</f>
        <v/>
      </c>
    </row>
    <row r="134">
      <c r="A134" s="9" t="n">
        <v>30</v>
      </c>
      <c r="B134" s="9" t="inlineStr">
        <is>
          <t>2028-05-01</t>
        </is>
      </c>
      <c r="C134" s="24">
        <f>F133</f>
        <v/>
      </c>
      <c r="D134" s="24">
        <f>MAX(0,C134*$B$96/12)</f>
        <v/>
      </c>
      <c r="E134" s="24">
        <f>MAX(0,MIN(C134,$B$97-D134))</f>
        <v/>
      </c>
      <c r="F134" s="24">
        <f>MAX(0,C134-E134)</f>
        <v/>
      </c>
    </row>
    <row r="135">
      <c r="A135" s="9" t="n">
        <v>31</v>
      </c>
      <c r="B135" s="9" t="inlineStr">
        <is>
          <t>2028-06-01</t>
        </is>
      </c>
      <c r="C135" s="24">
        <f>F134</f>
        <v/>
      </c>
      <c r="D135" s="24">
        <f>MAX(0,C135*$B$96/12)</f>
        <v/>
      </c>
      <c r="E135" s="24">
        <f>MAX(0,MIN(C135,$B$97-D135))</f>
        <v/>
      </c>
      <c r="F135" s="24">
        <f>MAX(0,C135-E135)</f>
        <v/>
      </c>
    </row>
    <row r="136">
      <c r="A136" s="9" t="n">
        <v>32</v>
      </c>
      <c r="B136" s="9" t="inlineStr">
        <is>
          <t>2028-07-01</t>
        </is>
      </c>
      <c r="C136" s="24">
        <f>F135</f>
        <v/>
      </c>
      <c r="D136" s="24">
        <f>MAX(0,C136*$B$96/12)</f>
        <v/>
      </c>
      <c r="E136" s="24">
        <f>MAX(0,MIN(C136,$B$97-D136))</f>
        <v/>
      </c>
      <c r="F136" s="24">
        <f>MAX(0,C136-E136)</f>
        <v/>
      </c>
    </row>
    <row r="137">
      <c r="A137" s="9" t="n">
        <v>33</v>
      </c>
      <c r="B137" s="9" t="inlineStr">
        <is>
          <t>2028-08-01</t>
        </is>
      </c>
      <c r="C137" s="24">
        <f>F136</f>
        <v/>
      </c>
      <c r="D137" s="24">
        <f>MAX(0,C137*$B$96/12)</f>
        <v/>
      </c>
      <c r="E137" s="24">
        <f>MAX(0,MIN(C137,$B$97-D137))</f>
        <v/>
      </c>
      <c r="F137" s="24">
        <f>MAX(0,C137-E137)</f>
        <v/>
      </c>
    </row>
    <row r="138">
      <c r="A138" s="9" t="n">
        <v>34</v>
      </c>
      <c r="B138" s="9" t="inlineStr">
        <is>
          <t>2028-09-01</t>
        </is>
      </c>
      <c r="C138" s="24">
        <f>F137</f>
        <v/>
      </c>
      <c r="D138" s="24">
        <f>MAX(0,C138*$B$96/12)</f>
        <v/>
      </c>
      <c r="E138" s="24">
        <f>MAX(0,MIN(C138,$B$97-D138))</f>
        <v/>
      </c>
      <c r="F138" s="24">
        <f>MAX(0,C138-E138)</f>
        <v/>
      </c>
    </row>
    <row r="139">
      <c r="A139" s="9" t="n">
        <v>35</v>
      </c>
      <c r="B139" s="9" t="inlineStr">
        <is>
          <t>2028-10-01</t>
        </is>
      </c>
      <c r="C139" s="24">
        <f>F138</f>
        <v/>
      </c>
      <c r="D139" s="24">
        <f>MAX(0,C139*$B$96/12)</f>
        <v/>
      </c>
      <c r="E139" s="24">
        <f>MAX(0,MIN(C139,$B$97-D139))</f>
        <v/>
      </c>
      <c r="F139" s="24">
        <f>MAX(0,C139-E139)</f>
        <v/>
      </c>
    </row>
    <row r="140">
      <c r="A140" s="9" t="n">
        <v>36</v>
      </c>
      <c r="B140" s="9" t="inlineStr">
        <is>
          <t>2028-11-01</t>
        </is>
      </c>
      <c r="C140" s="24">
        <f>F139</f>
        <v/>
      </c>
      <c r="D140" s="24">
        <f>MAX(0,C140*$B$96/12)</f>
        <v/>
      </c>
      <c r="E140" s="24">
        <f>MAX(0,MIN(C140,$B$97-D140))</f>
        <v/>
      </c>
      <c r="F140" s="24">
        <f>MAX(0,C140-E140)</f>
        <v/>
      </c>
    </row>
    <row r="141">
      <c r="A141" s="9" t="n">
        <v>37</v>
      </c>
      <c r="B141" s="9" t="inlineStr">
        <is>
          <t>2028-12-01</t>
        </is>
      </c>
      <c r="C141" s="24">
        <f>F140</f>
        <v/>
      </c>
      <c r="D141" s="24">
        <f>MAX(0,C141*$B$96/12)</f>
        <v/>
      </c>
      <c r="E141" s="24">
        <f>MAX(0,MIN(C141,$B$97-D141))</f>
        <v/>
      </c>
      <c r="F141" s="24">
        <f>MAX(0,C141-E141)</f>
        <v/>
      </c>
    </row>
    <row r="142">
      <c r="A142" s="9" t="n">
        <v>38</v>
      </c>
      <c r="B142" s="9" t="inlineStr">
        <is>
          <t>2029-01-01</t>
        </is>
      </c>
      <c r="C142" s="24">
        <f>F141</f>
        <v/>
      </c>
      <c r="D142" s="24">
        <f>MAX(0,C142*$B$96/12)</f>
        <v/>
      </c>
      <c r="E142" s="24">
        <f>MAX(0,MIN(C142,$B$97-D142))</f>
        <v/>
      </c>
      <c r="F142" s="24">
        <f>MAX(0,C142-E142)</f>
        <v/>
      </c>
    </row>
    <row r="143">
      <c r="A143" s="9" t="n">
        <v>39</v>
      </c>
      <c r="B143" s="9" t="inlineStr">
        <is>
          <t>2029-02-01</t>
        </is>
      </c>
      <c r="C143" s="24">
        <f>F142</f>
        <v/>
      </c>
      <c r="D143" s="24">
        <f>MAX(0,C143*$B$96/12)</f>
        <v/>
      </c>
      <c r="E143" s="24">
        <f>MAX(0,MIN(C143,$B$97-D143))</f>
        <v/>
      </c>
      <c r="F143" s="24">
        <f>MAX(0,C143-E143)</f>
        <v/>
      </c>
    </row>
    <row r="144">
      <c r="A144" s="9" t="n">
        <v>40</v>
      </c>
      <c r="B144" s="9" t="inlineStr">
        <is>
          <t>2029-03-01</t>
        </is>
      </c>
      <c r="C144" s="24">
        <f>F143</f>
        <v/>
      </c>
      <c r="D144" s="24">
        <f>MAX(0,C144*$B$96/12)</f>
        <v/>
      </c>
      <c r="E144" s="24">
        <f>MAX(0,MIN(C144,$B$97-D144))</f>
        <v/>
      </c>
      <c r="F144" s="24">
        <f>MAX(0,C144-E144)</f>
        <v/>
      </c>
    </row>
    <row r="145">
      <c r="A145" s="9" t="n">
        <v>41</v>
      </c>
      <c r="B145" s="9" t="inlineStr">
        <is>
          <t>2029-04-01</t>
        </is>
      </c>
      <c r="C145" s="24">
        <f>F144</f>
        <v/>
      </c>
      <c r="D145" s="24">
        <f>MAX(0,C145*$B$96/12)</f>
        <v/>
      </c>
      <c r="E145" s="24">
        <f>MAX(0,MIN(C145,$B$97-D145))</f>
        <v/>
      </c>
      <c r="F145" s="24">
        <f>MAX(0,C145-E145)</f>
        <v/>
      </c>
    </row>
    <row r="146">
      <c r="A146" s="9" t="n">
        <v>42</v>
      </c>
      <c r="B146" s="9" t="inlineStr">
        <is>
          <t>2029-05-01</t>
        </is>
      </c>
      <c r="C146" s="24">
        <f>F145</f>
        <v/>
      </c>
      <c r="D146" s="24">
        <f>MAX(0,C146*$B$96/12)</f>
        <v/>
      </c>
      <c r="E146" s="24">
        <f>MAX(0,MIN(C146,$B$97-D146))</f>
        <v/>
      </c>
      <c r="F146" s="24">
        <f>MAX(0,C146-E146)</f>
        <v/>
      </c>
    </row>
    <row r="147">
      <c r="A147" s="9" t="n">
        <v>43</v>
      </c>
      <c r="B147" s="9" t="inlineStr">
        <is>
          <t>2029-06-01</t>
        </is>
      </c>
      <c r="C147" s="24">
        <f>F146</f>
        <v/>
      </c>
      <c r="D147" s="24">
        <f>MAX(0,C147*$B$96/12)</f>
        <v/>
      </c>
      <c r="E147" s="24">
        <f>MAX(0,MIN(C147,$B$97-D147))</f>
        <v/>
      </c>
      <c r="F147" s="24">
        <f>MAX(0,C147-E147)</f>
        <v/>
      </c>
    </row>
    <row r="148">
      <c r="A148" s="9" t="n">
        <v>44</v>
      </c>
      <c r="B148" s="9" t="inlineStr">
        <is>
          <t>2029-07-01</t>
        </is>
      </c>
      <c r="C148" s="24">
        <f>F147</f>
        <v/>
      </c>
      <c r="D148" s="24">
        <f>MAX(0,C148*$B$96/12)</f>
        <v/>
      </c>
      <c r="E148" s="24">
        <f>MAX(0,MIN(C148,$B$97-D148))</f>
        <v/>
      </c>
      <c r="F148" s="24">
        <f>MAX(0,C148-E148)</f>
        <v/>
      </c>
    </row>
    <row r="149">
      <c r="A149" s="9" t="n">
        <v>45</v>
      </c>
      <c r="B149" s="9" t="inlineStr">
        <is>
          <t>2029-08-01</t>
        </is>
      </c>
      <c r="C149" s="24">
        <f>F148</f>
        <v/>
      </c>
      <c r="D149" s="24">
        <f>MAX(0,C149*$B$96/12)</f>
        <v/>
      </c>
      <c r="E149" s="24">
        <f>MAX(0,MIN(C149,$B$97-D149))</f>
        <v/>
      </c>
      <c r="F149" s="24">
        <f>MAX(0,C149-E149)</f>
        <v/>
      </c>
    </row>
    <row r="150">
      <c r="A150" s="9" t="n">
        <v>46</v>
      </c>
      <c r="B150" s="9" t="inlineStr">
        <is>
          <t>2029-09-01</t>
        </is>
      </c>
      <c r="C150" s="24">
        <f>F149</f>
        <v/>
      </c>
      <c r="D150" s="24">
        <f>MAX(0,C150*$B$96/12)</f>
        <v/>
      </c>
      <c r="E150" s="24">
        <f>MAX(0,MIN(C150,$B$97-D150))</f>
        <v/>
      </c>
      <c r="F150" s="24">
        <f>MAX(0,C150-E150)</f>
        <v/>
      </c>
    </row>
    <row r="151">
      <c r="A151" s="9" t="n">
        <v>47</v>
      </c>
      <c r="B151" s="9" t="inlineStr">
        <is>
          <t>2029-10-01</t>
        </is>
      </c>
      <c r="C151" s="24">
        <f>F150</f>
        <v/>
      </c>
      <c r="D151" s="24">
        <f>MAX(0,C151*$B$96/12)</f>
        <v/>
      </c>
      <c r="E151" s="24">
        <f>MAX(0,MIN(C151,$B$97-D151))</f>
        <v/>
      </c>
      <c r="F151" s="24">
        <f>MAX(0,C151-E151)</f>
        <v/>
      </c>
    </row>
    <row r="152">
      <c r="A152" s="9" t="n">
        <v>48</v>
      </c>
      <c r="B152" s="9" t="inlineStr">
        <is>
          <t>2029-11-01</t>
        </is>
      </c>
      <c r="C152" s="24">
        <f>F151</f>
        <v/>
      </c>
      <c r="D152" s="24">
        <f>MAX(0,C152*$B$96/12)</f>
        <v/>
      </c>
      <c r="E152" s="24">
        <f>MAX(0,MIN(C152,$B$97-D152))</f>
        <v/>
      </c>
      <c r="F152" s="24">
        <f>MAX(0,C152-E152)</f>
        <v/>
      </c>
    </row>
    <row r="153">
      <c r="A153" s="9" t="n">
        <v>49</v>
      </c>
      <c r="B153" s="9" t="inlineStr">
        <is>
          <t>2029-12-01</t>
        </is>
      </c>
      <c r="C153" s="24">
        <f>F152</f>
        <v/>
      </c>
      <c r="D153" s="24">
        <f>MAX(0,C153*$B$96/12)</f>
        <v/>
      </c>
      <c r="E153" s="24">
        <f>MAX(0,MIN(C153,$B$97-D153))</f>
        <v/>
      </c>
      <c r="F153" s="24">
        <f>MAX(0,C153-E153)</f>
        <v/>
      </c>
    </row>
    <row r="154">
      <c r="A154" s="9" t="n">
        <v>50</v>
      </c>
      <c r="B154" s="9" t="inlineStr">
        <is>
          <t>2030-01-01</t>
        </is>
      </c>
      <c r="C154" s="24">
        <f>F153</f>
        <v/>
      </c>
      <c r="D154" s="24">
        <f>MAX(0,C154*$B$96/12)</f>
        <v/>
      </c>
      <c r="E154" s="24">
        <f>MAX(0,MIN(C154,$B$97-D154))</f>
        <v/>
      </c>
      <c r="F154" s="24">
        <f>MAX(0,C154-E154)</f>
        <v/>
      </c>
    </row>
    <row r="155">
      <c r="A155" s="9" t="n">
        <v>51</v>
      </c>
      <c r="B155" s="9" t="inlineStr">
        <is>
          <t>2030-02-01</t>
        </is>
      </c>
      <c r="C155" s="24">
        <f>F154</f>
        <v/>
      </c>
      <c r="D155" s="24">
        <f>MAX(0,C155*$B$96/12)</f>
        <v/>
      </c>
      <c r="E155" s="24">
        <f>MAX(0,MIN(C155,$B$97-D155))</f>
        <v/>
      </c>
      <c r="F155" s="24">
        <f>MAX(0,C155-E155)</f>
        <v/>
      </c>
    </row>
    <row r="156">
      <c r="A156" s="9" t="n">
        <v>52</v>
      </c>
      <c r="B156" s="9" t="inlineStr">
        <is>
          <t>2030-03-01</t>
        </is>
      </c>
      <c r="C156" s="24">
        <f>F155</f>
        <v/>
      </c>
      <c r="D156" s="24">
        <f>MAX(0,C156*$B$96/12)</f>
        <v/>
      </c>
      <c r="E156" s="24">
        <f>MAX(0,MIN(C156,$B$97-D156))</f>
        <v/>
      </c>
      <c r="F156" s="24">
        <f>MAX(0,C156-E156)</f>
        <v/>
      </c>
    </row>
    <row r="157">
      <c r="A157" s="9" t="n">
        <v>53</v>
      </c>
      <c r="B157" s="9" t="inlineStr">
        <is>
          <t>2030-04-01</t>
        </is>
      </c>
      <c r="C157" s="24">
        <f>F156</f>
        <v/>
      </c>
      <c r="D157" s="24">
        <f>MAX(0,C157*$B$96/12)</f>
        <v/>
      </c>
      <c r="E157" s="24">
        <f>MAX(0,MIN(C157,$B$97-D157))</f>
        <v/>
      </c>
      <c r="F157" s="24">
        <f>MAX(0,C157-E157)</f>
        <v/>
      </c>
    </row>
    <row r="158">
      <c r="A158" s="9" t="n">
        <v>54</v>
      </c>
      <c r="B158" s="9" t="inlineStr">
        <is>
          <t>2030-05-01</t>
        </is>
      </c>
      <c r="C158" s="24">
        <f>F157</f>
        <v/>
      </c>
      <c r="D158" s="24">
        <f>MAX(0,C158*$B$96/12)</f>
        <v/>
      </c>
      <c r="E158" s="24">
        <f>MAX(0,MIN(C158,$B$97-D158))</f>
        <v/>
      </c>
      <c r="F158" s="24">
        <f>MAX(0,C158-E158)</f>
        <v/>
      </c>
    </row>
    <row r="159">
      <c r="A159" s="9" t="n">
        <v>55</v>
      </c>
      <c r="B159" s="9" t="inlineStr">
        <is>
          <t>2030-06-01</t>
        </is>
      </c>
      <c r="C159" s="24">
        <f>F158</f>
        <v/>
      </c>
      <c r="D159" s="24">
        <f>MAX(0,C159*$B$96/12)</f>
        <v/>
      </c>
      <c r="E159" s="24">
        <f>MAX(0,MIN(C159,$B$97-D159))</f>
        <v/>
      </c>
      <c r="F159" s="24">
        <f>MAX(0,C159-E159)</f>
        <v/>
      </c>
    </row>
    <row r="160">
      <c r="A160" s="9" t="n">
        <v>56</v>
      </c>
      <c r="B160" s="9" t="inlineStr">
        <is>
          <t>2030-07-01</t>
        </is>
      </c>
      <c r="C160" s="24">
        <f>F159</f>
        <v/>
      </c>
      <c r="D160" s="24">
        <f>MAX(0,C160*$B$96/12)</f>
        <v/>
      </c>
      <c r="E160" s="24">
        <f>MAX(0,MIN(C160,$B$97-D160))</f>
        <v/>
      </c>
      <c r="F160" s="24">
        <f>MAX(0,C160-E160)</f>
        <v/>
      </c>
    </row>
    <row r="161">
      <c r="A161" s="9" t="n">
        <v>57</v>
      </c>
      <c r="B161" s="9" t="inlineStr">
        <is>
          <t>2030-08-01</t>
        </is>
      </c>
      <c r="C161" s="24">
        <f>F160</f>
        <v/>
      </c>
      <c r="D161" s="24">
        <f>MAX(0,C161*$B$96/12)</f>
        <v/>
      </c>
      <c r="E161" s="24">
        <f>MAX(0,MIN(C161,$B$97-D161))</f>
        <v/>
      </c>
      <c r="F161" s="24">
        <f>MAX(0,C161-E161)</f>
        <v/>
      </c>
    </row>
    <row r="162">
      <c r="A162" s="20" t="inlineStr">
        <is>
          <t>TOTAL</t>
        </is>
      </c>
      <c r="D162" s="25">
        <f>SUM(D105:D161)</f>
        <v/>
      </c>
      <c r="E162" s="25">
        <f>SUM(E105:E161)</f>
        <v/>
      </c>
    </row>
    <row r="165">
      <c r="A165" s="15" t="inlineStr">
        <is>
          <t>LOAN 3: CCG 6 Trucks 820-825</t>
        </is>
      </c>
    </row>
    <row r="166">
      <c r="A166" t="inlineStr">
        <is>
          <t>Loan ID:</t>
        </is>
      </c>
      <c r="B166" s="2" t="inlineStr">
        <is>
          <t>05-2990-002-000-00</t>
        </is>
      </c>
    </row>
    <row r="167">
      <c r="A167" t="inlineStr">
        <is>
          <t>Account:</t>
        </is>
      </c>
      <c r="B167" s="2" t="inlineStr">
        <is>
          <t>46312</t>
        </is>
      </c>
    </row>
    <row r="168">
      <c r="A168" t="inlineStr">
        <is>
          <t>Opening Balance:</t>
        </is>
      </c>
      <c r="B168" s="22" t="n">
        <v>1128000</v>
      </c>
    </row>
    <row r="169">
      <c r="A169" t="inlineStr">
        <is>
          <t>Remaining Balance (Nov 2025):</t>
        </is>
      </c>
      <c r="B169" s="22" t="n">
        <v>1065052</v>
      </c>
    </row>
    <row r="170">
      <c r="A170" t="inlineStr">
        <is>
          <t>Annual Interest Rate:</t>
        </is>
      </c>
      <c r="B170" s="4" t="n">
        <v>0.105</v>
      </c>
    </row>
    <row r="171">
      <c r="A171" t="inlineStr">
        <is>
          <t>Monthly Payment:</t>
        </is>
      </c>
      <c r="B171" s="22" t="n">
        <v>24291</v>
      </c>
    </row>
    <row r="172">
      <c r="A172" t="inlineStr">
        <is>
          <t>Origination Date:</t>
        </is>
      </c>
      <c r="B172" s="2" t="inlineStr">
        <is>
          <t>2025-11-10</t>
        </is>
      </c>
    </row>
    <row r="173">
      <c r="A173" t="inlineStr">
        <is>
          <t>Maturity Date:</t>
        </is>
      </c>
      <c r="B173" s="2" t="inlineStr">
        <is>
          <t>2030-08-10</t>
        </is>
      </c>
    </row>
    <row r="174">
      <c r="A174" t="inlineStr">
        <is>
          <t>Loan Type:</t>
        </is>
      </c>
      <c r="B174" s="2" t="inlineStr">
        <is>
          <t>AMORTIZING</t>
        </is>
      </c>
    </row>
    <row r="175">
      <c r="A175" t="inlineStr">
        <is>
          <t>Use / Collateral:</t>
        </is>
      </c>
      <c r="B175" s="2" t="inlineStr">
        <is>
          <t>Equipment (Semi trucks)</t>
        </is>
      </c>
    </row>
    <row r="177">
      <c r="A177" s="17" t="inlineStr">
        <is>
          <t>AMORTIZATION SCHEDULE</t>
        </is>
      </c>
    </row>
    <row r="178">
      <c r="A178" s="23" t="inlineStr">
        <is>
          <t>Month #</t>
        </is>
      </c>
      <c r="B178" s="23" t="inlineStr">
        <is>
          <t>Date</t>
        </is>
      </c>
      <c r="C178" s="23" t="inlineStr">
        <is>
          <t>Opening Balance</t>
        </is>
      </c>
      <c r="D178" s="23" t="inlineStr">
        <is>
          <t>Interest</t>
        </is>
      </c>
      <c r="E178" s="23" t="inlineStr">
        <is>
          <t>Principal</t>
        </is>
      </c>
      <c r="F178" s="23" t="inlineStr">
        <is>
          <t>Closing Balance</t>
        </is>
      </c>
    </row>
    <row r="179">
      <c r="A179" s="9" t="n">
        <v>1</v>
      </c>
      <c r="B179" s="9" t="inlineStr">
        <is>
          <t>2025-12-01</t>
        </is>
      </c>
      <c r="C179" s="24">
        <f>B169</f>
        <v/>
      </c>
      <c r="D179" s="24">
        <f>MAX(0,C179*$B$170/12)</f>
        <v/>
      </c>
      <c r="E179" s="24">
        <f>MAX(0,MIN(C179,$B$171-D179))</f>
        <v/>
      </c>
      <c r="F179" s="24">
        <f>MAX(0,C179-E179)</f>
        <v/>
      </c>
    </row>
    <row r="180">
      <c r="A180" s="9" t="n">
        <v>2</v>
      </c>
      <c r="B180" s="9" t="inlineStr">
        <is>
          <t>2026-01-01</t>
        </is>
      </c>
      <c r="C180" s="24">
        <f>F179</f>
        <v/>
      </c>
      <c r="D180" s="24">
        <f>MAX(0,C180*$B$170/12)</f>
        <v/>
      </c>
      <c r="E180" s="24">
        <f>MAX(0,MIN(C180,$B$171-D180))</f>
        <v/>
      </c>
      <c r="F180" s="24">
        <f>MAX(0,C180-E180)</f>
        <v/>
      </c>
    </row>
    <row r="181">
      <c r="A181" s="9" t="n">
        <v>3</v>
      </c>
      <c r="B181" s="9" t="inlineStr">
        <is>
          <t>2026-02-01</t>
        </is>
      </c>
      <c r="C181" s="24">
        <f>F180</f>
        <v/>
      </c>
      <c r="D181" s="24">
        <f>MAX(0,C181*$B$170/12)</f>
        <v/>
      </c>
      <c r="E181" s="24">
        <f>MAX(0,MIN(C181,$B$171-D181))</f>
        <v/>
      </c>
      <c r="F181" s="24">
        <f>MAX(0,C181-E181)</f>
        <v/>
      </c>
    </row>
    <row r="182">
      <c r="A182" s="9" t="n">
        <v>4</v>
      </c>
      <c r="B182" s="9" t="inlineStr">
        <is>
          <t>2026-03-01</t>
        </is>
      </c>
      <c r="C182" s="24">
        <f>F181</f>
        <v/>
      </c>
      <c r="D182" s="24">
        <f>MAX(0,C182*$B$170/12)</f>
        <v/>
      </c>
      <c r="E182" s="24">
        <f>MAX(0,MIN(C182,$B$171-D182))</f>
        <v/>
      </c>
      <c r="F182" s="24">
        <f>MAX(0,C182-E182)</f>
        <v/>
      </c>
    </row>
    <row r="183">
      <c r="A183" s="9" t="n">
        <v>5</v>
      </c>
      <c r="B183" s="9" t="inlineStr">
        <is>
          <t>2026-04-01</t>
        </is>
      </c>
      <c r="C183" s="24">
        <f>F182</f>
        <v/>
      </c>
      <c r="D183" s="24">
        <f>MAX(0,C183*$B$170/12)</f>
        <v/>
      </c>
      <c r="E183" s="24">
        <f>MAX(0,MIN(C183,$B$171-D183))</f>
        <v/>
      </c>
      <c r="F183" s="24">
        <f>MAX(0,C183-E183)</f>
        <v/>
      </c>
    </row>
    <row r="184">
      <c r="A184" s="9" t="n">
        <v>6</v>
      </c>
      <c r="B184" s="9" t="inlineStr">
        <is>
          <t>2026-05-01</t>
        </is>
      </c>
      <c r="C184" s="24">
        <f>F183</f>
        <v/>
      </c>
      <c r="D184" s="24">
        <f>MAX(0,C184*$B$170/12)</f>
        <v/>
      </c>
      <c r="E184" s="24">
        <f>MAX(0,MIN(C184,$B$171-D184))</f>
        <v/>
      </c>
      <c r="F184" s="24">
        <f>MAX(0,C184-E184)</f>
        <v/>
      </c>
    </row>
    <row r="185">
      <c r="A185" s="9" t="n">
        <v>7</v>
      </c>
      <c r="B185" s="9" t="inlineStr">
        <is>
          <t>2026-06-01</t>
        </is>
      </c>
      <c r="C185" s="24">
        <f>F184</f>
        <v/>
      </c>
      <c r="D185" s="24">
        <f>MAX(0,C185*$B$170/12)</f>
        <v/>
      </c>
      <c r="E185" s="24">
        <f>MAX(0,MIN(C185,$B$171-D185))</f>
        <v/>
      </c>
      <c r="F185" s="24">
        <f>MAX(0,C185-E185)</f>
        <v/>
      </c>
    </row>
    <row r="186">
      <c r="A186" s="9" t="n">
        <v>8</v>
      </c>
      <c r="B186" s="9" t="inlineStr">
        <is>
          <t>2026-07-01</t>
        </is>
      </c>
      <c r="C186" s="24">
        <f>F185</f>
        <v/>
      </c>
      <c r="D186" s="24">
        <f>MAX(0,C186*$B$170/12)</f>
        <v/>
      </c>
      <c r="E186" s="24">
        <f>MAX(0,MIN(C186,$B$171-D186))</f>
        <v/>
      </c>
      <c r="F186" s="24">
        <f>MAX(0,C186-E186)</f>
        <v/>
      </c>
    </row>
    <row r="187">
      <c r="A187" s="9" t="n">
        <v>9</v>
      </c>
      <c r="B187" s="9" t="inlineStr">
        <is>
          <t>2026-08-01</t>
        </is>
      </c>
      <c r="C187" s="24">
        <f>F186</f>
        <v/>
      </c>
      <c r="D187" s="24">
        <f>MAX(0,C187*$B$170/12)</f>
        <v/>
      </c>
      <c r="E187" s="24">
        <f>MAX(0,MIN(C187,$B$171-D187))</f>
        <v/>
      </c>
      <c r="F187" s="24">
        <f>MAX(0,C187-E187)</f>
        <v/>
      </c>
    </row>
    <row r="188">
      <c r="A188" s="9" t="n">
        <v>10</v>
      </c>
      <c r="B188" s="9" t="inlineStr">
        <is>
          <t>2026-09-01</t>
        </is>
      </c>
      <c r="C188" s="24">
        <f>F187</f>
        <v/>
      </c>
      <c r="D188" s="24">
        <f>MAX(0,C188*$B$170/12)</f>
        <v/>
      </c>
      <c r="E188" s="24">
        <f>MAX(0,MIN(C188,$B$171-D188))</f>
        <v/>
      </c>
      <c r="F188" s="24">
        <f>MAX(0,C188-E188)</f>
        <v/>
      </c>
    </row>
    <row r="189">
      <c r="A189" s="9" t="n">
        <v>11</v>
      </c>
      <c r="B189" s="9" t="inlineStr">
        <is>
          <t>2026-10-01</t>
        </is>
      </c>
      <c r="C189" s="24">
        <f>F188</f>
        <v/>
      </c>
      <c r="D189" s="24">
        <f>MAX(0,C189*$B$170/12)</f>
        <v/>
      </c>
      <c r="E189" s="24">
        <f>MAX(0,MIN(C189,$B$171-D189))</f>
        <v/>
      </c>
      <c r="F189" s="24">
        <f>MAX(0,C189-E189)</f>
        <v/>
      </c>
    </row>
    <row r="190">
      <c r="A190" s="9" t="n">
        <v>12</v>
      </c>
      <c r="B190" s="9" t="inlineStr">
        <is>
          <t>2026-11-01</t>
        </is>
      </c>
      <c r="C190" s="24">
        <f>F189</f>
        <v/>
      </c>
      <c r="D190" s="24">
        <f>MAX(0,C190*$B$170/12)</f>
        <v/>
      </c>
      <c r="E190" s="24">
        <f>MAX(0,MIN(C190,$B$171-D190))</f>
        <v/>
      </c>
      <c r="F190" s="24">
        <f>MAX(0,C190-E190)</f>
        <v/>
      </c>
    </row>
    <row r="191">
      <c r="A191" s="9" t="n">
        <v>13</v>
      </c>
      <c r="B191" s="9" t="inlineStr">
        <is>
          <t>2026-12-01</t>
        </is>
      </c>
      <c r="C191" s="24">
        <f>F190</f>
        <v/>
      </c>
      <c r="D191" s="24">
        <f>MAX(0,C191*$B$170/12)</f>
        <v/>
      </c>
      <c r="E191" s="24">
        <f>MAX(0,MIN(C191,$B$171-D191))</f>
        <v/>
      </c>
      <c r="F191" s="24">
        <f>MAX(0,C191-E191)</f>
        <v/>
      </c>
    </row>
    <row r="192">
      <c r="A192" s="9" t="n">
        <v>14</v>
      </c>
      <c r="B192" s="9" t="inlineStr">
        <is>
          <t>2027-01-01</t>
        </is>
      </c>
      <c r="C192" s="24">
        <f>F191</f>
        <v/>
      </c>
      <c r="D192" s="24">
        <f>MAX(0,C192*$B$170/12)</f>
        <v/>
      </c>
      <c r="E192" s="24">
        <f>MAX(0,MIN(C192,$B$171-D192))</f>
        <v/>
      </c>
      <c r="F192" s="24">
        <f>MAX(0,C192-E192)</f>
        <v/>
      </c>
    </row>
    <row r="193">
      <c r="A193" s="9" t="n">
        <v>15</v>
      </c>
      <c r="B193" s="9" t="inlineStr">
        <is>
          <t>2027-02-01</t>
        </is>
      </c>
      <c r="C193" s="24">
        <f>F192</f>
        <v/>
      </c>
      <c r="D193" s="24">
        <f>MAX(0,C193*$B$170/12)</f>
        <v/>
      </c>
      <c r="E193" s="24">
        <f>MAX(0,MIN(C193,$B$171-D193))</f>
        <v/>
      </c>
      <c r="F193" s="24">
        <f>MAX(0,C193-E193)</f>
        <v/>
      </c>
    </row>
    <row r="194">
      <c r="A194" s="9" t="n">
        <v>16</v>
      </c>
      <c r="B194" s="9" t="inlineStr">
        <is>
          <t>2027-03-01</t>
        </is>
      </c>
      <c r="C194" s="24">
        <f>F193</f>
        <v/>
      </c>
      <c r="D194" s="24">
        <f>MAX(0,C194*$B$170/12)</f>
        <v/>
      </c>
      <c r="E194" s="24">
        <f>MAX(0,MIN(C194,$B$171-D194))</f>
        <v/>
      </c>
      <c r="F194" s="24">
        <f>MAX(0,C194-E194)</f>
        <v/>
      </c>
    </row>
    <row r="195">
      <c r="A195" s="9" t="n">
        <v>17</v>
      </c>
      <c r="B195" s="9" t="inlineStr">
        <is>
          <t>2027-04-01</t>
        </is>
      </c>
      <c r="C195" s="24">
        <f>F194</f>
        <v/>
      </c>
      <c r="D195" s="24">
        <f>MAX(0,C195*$B$170/12)</f>
        <v/>
      </c>
      <c r="E195" s="24">
        <f>MAX(0,MIN(C195,$B$171-D195))</f>
        <v/>
      </c>
      <c r="F195" s="24">
        <f>MAX(0,C195-E195)</f>
        <v/>
      </c>
    </row>
    <row r="196">
      <c r="A196" s="9" t="n">
        <v>18</v>
      </c>
      <c r="B196" s="9" t="inlineStr">
        <is>
          <t>2027-05-01</t>
        </is>
      </c>
      <c r="C196" s="24">
        <f>F195</f>
        <v/>
      </c>
      <c r="D196" s="24">
        <f>MAX(0,C196*$B$170/12)</f>
        <v/>
      </c>
      <c r="E196" s="24">
        <f>MAX(0,MIN(C196,$B$171-D196))</f>
        <v/>
      </c>
      <c r="F196" s="24">
        <f>MAX(0,C196-E196)</f>
        <v/>
      </c>
    </row>
    <row r="197">
      <c r="A197" s="9" t="n">
        <v>19</v>
      </c>
      <c r="B197" s="9" t="inlineStr">
        <is>
          <t>2027-06-01</t>
        </is>
      </c>
      <c r="C197" s="24">
        <f>F196</f>
        <v/>
      </c>
      <c r="D197" s="24">
        <f>MAX(0,C197*$B$170/12)</f>
        <v/>
      </c>
      <c r="E197" s="24">
        <f>MAX(0,MIN(C197,$B$171-D197))</f>
        <v/>
      </c>
      <c r="F197" s="24">
        <f>MAX(0,C197-E197)</f>
        <v/>
      </c>
    </row>
    <row r="198">
      <c r="A198" s="9" t="n">
        <v>20</v>
      </c>
      <c r="B198" s="9" t="inlineStr">
        <is>
          <t>2027-07-01</t>
        </is>
      </c>
      <c r="C198" s="24">
        <f>F197</f>
        <v/>
      </c>
      <c r="D198" s="24">
        <f>MAX(0,C198*$B$170/12)</f>
        <v/>
      </c>
      <c r="E198" s="24">
        <f>MAX(0,MIN(C198,$B$171-D198))</f>
        <v/>
      </c>
      <c r="F198" s="24">
        <f>MAX(0,C198-E198)</f>
        <v/>
      </c>
    </row>
    <row r="199">
      <c r="A199" s="9" t="n">
        <v>21</v>
      </c>
      <c r="B199" s="9" t="inlineStr">
        <is>
          <t>2027-08-01</t>
        </is>
      </c>
      <c r="C199" s="24">
        <f>F198</f>
        <v/>
      </c>
      <c r="D199" s="24">
        <f>MAX(0,C199*$B$170/12)</f>
        <v/>
      </c>
      <c r="E199" s="24">
        <f>MAX(0,MIN(C199,$B$171-D199))</f>
        <v/>
      </c>
      <c r="F199" s="24">
        <f>MAX(0,C199-E199)</f>
        <v/>
      </c>
    </row>
    <row r="200">
      <c r="A200" s="9" t="n">
        <v>22</v>
      </c>
      <c r="B200" s="9" t="inlineStr">
        <is>
          <t>2027-09-01</t>
        </is>
      </c>
      <c r="C200" s="24">
        <f>F199</f>
        <v/>
      </c>
      <c r="D200" s="24">
        <f>MAX(0,C200*$B$170/12)</f>
        <v/>
      </c>
      <c r="E200" s="24">
        <f>MAX(0,MIN(C200,$B$171-D200))</f>
        <v/>
      </c>
      <c r="F200" s="24">
        <f>MAX(0,C200-E200)</f>
        <v/>
      </c>
    </row>
    <row r="201">
      <c r="A201" s="9" t="n">
        <v>23</v>
      </c>
      <c r="B201" s="9" t="inlineStr">
        <is>
          <t>2027-10-01</t>
        </is>
      </c>
      <c r="C201" s="24">
        <f>F200</f>
        <v/>
      </c>
      <c r="D201" s="24">
        <f>MAX(0,C201*$B$170/12)</f>
        <v/>
      </c>
      <c r="E201" s="24">
        <f>MAX(0,MIN(C201,$B$171-D201))</f>
        <v/>
      </c>
      <c r="F201" s="24">
        <f>MAX(0,C201-E201)</f>
        <v/>
      </c>
    </row>
    <row r="202">
      <c r="A202" s="9" t="n">
        <v>24</v>
      </c>
      <c r="B202" s="9" t="inlineStr">
        <is>
          <t>2027-11-01</t>
        </is>
      </c>
      <c r="C202" s="24">
        <f>F201</f>
        <v/>
      </c>
      <c r="D202" s="24">
        <f>MAX(0,C202*$B$170/12)</f>
        <v/>
      </c>
      <c r="E202" s="24">
        <f>MAX(0,MIN(C202,$B$171-D202))</f>
        <v/>
      </c>
      <c r="F202" s="24">
        <f>MAX(0,C202-E202)</f>
        <v/>
      </c>
    </row>
    <row r="203">
      <c r="A203" s="9" t="n">
        <v>25</v>
      </c>
      <c r="B203" s="9" t="inlineStr">
        <is>
          <t>2027-12-01</t>
        </is>
      </c>
      <c r="C203" s="24">
        <f>F202</f>
        <v/>
      </c>
      <c r="D203" s="24">
        <f>MAX(0,C203*$B$170/12)</f>
        <v/>
      </c>
      <c r="E203" s="24">
        <f>MAX(0,MIN(C203,$B$171-D203))</f>
        <v/>
      </c>
      <c r="F203" s="24">
        <f>MAX(0,C203-E203)</f>
        <v/>
      </c>
    </row>
    <row r="204">
      <c r="A204" s="9" t="n">
        <v>26</v>
      </c>
      <c r="B204" s="9" t="inlineStr">
        <is>
          <t>2028-01-01</t>
        </is>
      </c>
      <c r="C204" s="24">
        <f>F203</f>
        <v/>
      </c>
      <c r="D204" s="24">
        <f>MAX(0,C204*$B$170/12)</f>
        <v/>
      </c>
      <c r="E204" s="24">
        <f>MAX(0,MIN(C204,$B$171-D204))</f>
        <v/>
      </c>
      <c r="F204" s="24">
        <f>MAX(0,C204-E204)</f>
        <v/>
      </c>
    </row>
    <row r="205">
      <c r="A205" s="9" t="n">
        <v>27</v>
      </c>
      <c r="B205" s="9" t="inlineStr">
        <is>
          <t>2028-02-01</t>
        </is>
      </c>
      <c r="C205" s="24">
        <f>F204</f>
        <v/>
      </c>
      <c r="D205" s="24">
        <f>MAX(0,C205*$B$170/12)</f>
        <v/>
      </c>
      <c r="E205" s="24">
        <f>MAX(0,MIN(C205,$B$171-D205))</f>
        <v/>
      </c>
      <c r="F205" s="24">
        <f>MAX(0,C205-E205)</f>
        <v/>
      </c>
    </row>
    <row r="206">
      <c r="A206" s="9" t="n">
        <v>28</v>
      </c>
      <c r="B206" s="9" t="inlineStr">
        <is>
          <t>2028-03-01</t>
        </is>
      </c>
      <c r="C206" s="24">
        <f>F205</f>
        <v/>
      </c>
      <c r="D206" s="24">
        <f>MAX(0,C206*$B$170/12)</f>
        <v/>
      </c>
      <c r="E206" s="24">
        <f>MAX(0,MIN(C206,$B$171-D206))</f>
        <v/>
      </c>
      <c r="F206" s="24">
        <f>MAX(0,C206-E206)</f>
        <v/>
      </c>
    </row>
    <row r="207">
      <c r="A207" s="9" t="n">
        <v>29</v>
      </c>
      <c r="B207" s="9" t="inlineStr">
        <is>
          <t>2028-04-01</t>
        </is>
      </c>
      <c r="C207" s="24">
        <f>F206</f>
        <v/>
      </c>
      <c r="D207" s="24">
        <f>MAX(0,C207*$B$170/12)</f>
        <v/>
      </c>
      <c r="E207" s="24">
        <f>MAX(0,MIN(C207,$B$171-D207))</f>
        <v/>
      </c>
      <c r="F207" s="24">
        <f>MAX(0,C207-E207)</f>
        <v/>
      </c>
    </row>
    <row r="208">
      <c r="A208" s="9" t="n">
        <v>30</v>
      </c>
      <c r="B208" s="9" t="inlineStr">
        <is>
          <t>2028-05-01</t>
        </is>
      </c>
      <c r="C208" s="24">
        <f>F207</f>
        <v/>
      </c>
      <c r="D208" s="24">
        <f>MAX(0,C208*$B$170/12)</f>
        <v/>
      </c>
      <c r="E208" s="24">
        <f>MAX(0,MIN(C208,$B$171-D208))</f>
        <v/>
      </c>
      <c r="F208" s="24">
        <f>MAX(0,C208-E208)</f>
        <v/>
      </c>
    </row>
    <row r="209">
      <c r="A209" s="9" t="n">
        <v>31</v>
      </c>
      <c r="B209" s="9" t="inlineStr">
        <is>
          <t>2028-06-01</t>
        </is>
      </c>
      <c r="C209" s="24">
        <f>F208</f>
        <v/>
      </c>
      <c r="D209" s="24">
        <f>MAX(0,C209*$B$170/12)</f>
        <v/>
      </c>
      <c r="E209" s="24">
        <f>MAX(0,MIN(C209,$B$171-D209))</f>
        <v/>
      </c>
      <c r="F209" s="24">
        <f>MAX(0,C209-E209)</f>
        <v/>
      </c>
    </row>
    <row r="210">
      <c r="A210" s="9" t="n">
        <v>32</v>
      </c>
      <c r="B210" s="9" t="inlineStr">
        <is>
          <t>2028-07-01</t>
        </is>
      </c>
      <c r="C210" s="24">
        <f>F209</f>
        <v/>
      </c>
      <c r="D210" s="24">
        <f>MAX(0,C210*$B$170/12)</f>
        <v/>
      </c>
      <c r="E210" s="24">
        <f>MAX(0,MIN(C210,$B$171-D210))</f>
        <v/>
      </c>
      <c r="F210" s="24">
        <f>MAX(0,C210-E210)</f>
        <v/>
      </c>
    </row>
    <row r="211">
      <c r="A211" s="9" t="n">
        <v>33</v>
      </c>
      <c r="B211" s="9" t="inlineStr">
        <is>
          <t>2028-08-01</t>
        </is>
      </c>
      <c r="C211" s="24">
        <f>F210</f>
        <v/>
      </c>
      <c r="D211" s="24">
        <f>MAX(0,C211*$B$170/12)</f>
        <v/>
      </c>
      <c r="E211" s="24">
        <f>MAX(0,MIN(C211,$B$171-D211))</f>
        <v/>
      </c>
      <c r="F211" s="24">
        <f>MAX(0,C211-E211)</f>
        <v/>
      </c>
    </row>
    <row r="212">
      <c r="A212" s="9" t="n">
        <v>34</v>
      </c>
      <c r="B212" s="9" t="inlineStr">
        <is>
          <t>2028-09-01</t>
        </is>
      </c>
      <c r="C212" s="24">
        <f>F211</f>
        <v/>
      </c>
      <c r="D212" s="24">
        <f>MAX(0,C212*$B$170/12)</f>
        <v/>
      </c>
      <c r="E212" s="24">
        <f>MAX(0,MIN(C212,$B$171-D212))</f>
        <v/>
      </c>
      <c r="F212" s="24">
        <f>MAX(0,C212-E212)</f>
        <v/>
      </c>
    </row>
    <row r="213">
      <c r="A213" s="9" t="n">
        <v>35</v>
      </c>
      <c r="B213" s="9" t="inlineStr">
        <is>
          <t>2028-10-01</t>
        </is>
      </c>
      <c r="C213" s="24">
        <f>F212</f>
        <v/>
      </c>
      <c r="D213" s="24">
        <f>MAX(0,C213*$B$170/12)</f>
        <v/>
      </c>
      <c r="E213" s="24">
        <f>MAX(0,MIN(C213,$B$171-D213))</f>
        <v/>
      </c>
      <c r="F213" s="24">
        <f>MAX(0,C213-E213)</f>
        <v/>
      </c>
    </row>
    <row r="214">
      <c r="A214" s="9" t="n">
        <v>36</v>
      </c>
      <c r="B214" s="9" t="inlineStr">
        <is>
          <t>2028-11-01</t>
        </is>
      </c>
      <c r="C214" s="24">
        <f>F213</f>
        <v/>
      </c>
      <c r="D214" s="24">
        <f>MAX(0,C214*$B$170/12)</f>
        <v/>
      </c>
      <c r="E214" s="24">
        <f>MAX(0,MIN(C214,$B$171-D214))</f>
        <v/>
      </c>
      <c r="F214" s="24">
        <f>MAX(0,C214-E214)</f>
        <v/>
      </c>
    </row>
    <row r="215">
      <c r="A215" s="9" t="n">
        <v>37</v>
      </c>
      <c r="B215" s="9" t="inlineStr">
        <is>
          <t>2028-12-01</t>
        </is>
      </c>
      <c r="C215" s="24">
        <f>F214</f>
        <v/>
      </c>
      <c r="D215" s="24">
        <f>MAX(0,C215*$B$170/12)</f>
        <v/>
      </c>
      <c r="E215" s="24">
        <f>MAX(0,MIN(C215,$B$171-D215))</f>
        <v/>
      </c>
      <c r="F215" s="24">
        <f>MAX(0,C215-E215)</f>
        <v/>
      </c>
    </row>
    <row r="216">
      <c r="A216" s="9" t="n">
        <v>38</v>
      </c>
      <c r="B216" s="9" t="inlineStr">
        <is>
          <t>2029-01-01</t>
        </is>
      </c>
      <c r="C216" s="24">
        <f>F215</f>
        <v/>
      </c>
      <c r="D216" s="24">
        <f>MAX(0,C216*$B$170/12)</f>
        <v/>
      </c>
      <c r="E216" s="24">
        <f>MAX(0,MIN(C216,$B$171-D216))</f>
        <v/>
      </c>
      <c r="F216" s="24">
        <f>MAX(0,C216-E216)</f>
        <v/>
      </c>
    </row>
    <row r="217">
      <c r="A217" s="9" t="n">
        <v>39</v>
      </c>
      <c r="B217" s="9" t="inlineStr">
        <is>
          <t>2029-02-01</t>
        </is>
      </c>
      <c r="C217" s="24">
        <f>F216</f>
        <v/>
      </c>
      <c r="D217" s="24">
        <f>MAX(0,C217*$B$170/12)</f>
        <v/>
      </c>
      <c r="E217" s="24">
        <f>MAX(0,MIN(C217,$B$171-D217))</f>
        <v/>
      </c>
      <c r="F217" s="24">
        <f>MAX(0,C217-E217)</f>
        <v/>
      </c>
    </row>
    <row r="218">
      <c r="A218" s="9" t="n">
        <v>40</v>
      </c>
      <c r="B218" s="9" t="inlineStr">
        <is>
          <t>2029-03-01</t>
        </is>
      </c>
      <c r="C218" s="24">
        <f>F217</f>
        <v/>
      </c>
      <c r="D218" s="24">
        <f>MAX(0,C218*$B$170/12)</f>
        <v/>
      </c>
      <c r="E218" s="24">
        <f>MAX(0,MIN(C218,$B$171-D218))</f>
        <v/>
      </c>
      <c r="F218" s="24">
        <f>MAX(0,C218-E218)</f>
        <v/>
      </c>
    </row>
    <row r="219">
      <c r="A219" s="9" t="n">
        <v>41</v>
      </c>
      <c r="B219" s="9" t="inlineStr">
        <is>
          <t>2029-04-01</t>
        </is>
      </c>
      <c r="C219" s="24">
        <f>F218</f>
        <v/>
      </c>
      <c r="D219" s="24">
        <f>MAX(0,C219*$B$170/12)</f>
        <v/>
      </c>
      <c r="E219" s="24">
        <f>MAX(0,MIN(C219,$B$171-D219))</f>
        <v/>
      </c>
      <c r="F219" s="24">
        <f>MAX(0,C219-E219)</f>
        <v/>
      </c>
    </row>
    <row r="220">
      <c r="A220" s="9" t="n">
        <v>42</v>
      </c>
      <c r="B220" s="9" t="inlineStr">
        <is>
          <t>2029-05-01</t>
        </is>
      </c>
      <c r="C220" s="24">
        <f>F219</f>
        <v/>
      </c>
      <c r="D220" s="24">
        <f>MAX(0,C220*$B$170/12)</f>
        <v/>
      </c>
      <c r="E220" s="24">
        <f>MAX(0,MIN(C220,$B$171-D220))</f>
        <v/>
      </c>
      <c r="F220" s="24">
        <f>MAX(0,C220-E220)</f>
        <v/>
      </c>
    </row>
    <row r="221">
      <c r="A221" s="9" t="n">
        <v>43</v>
      </c>
      <c r="B221" s="9" t="inlineStr">
        <is>
          <t>2029-06-01</t>
        </is>
      </c>
      <c r="C221" s="24">
        <f>F220</f>
        <v/>
      </c>
      <c r="D221" s="24">
        <f>MAX(0,C221*$B$170/12)</f>
        <v/>
      </c>
      <c r="E221" s="24">
        <f>MAX(0,MIN(C221,$B$171-D221))</f>
        <v/>
      </c>
      <c r="F221" s="24">
        <f>MAX(0,C221-E221)</f>
        <v/>
      </c>
    </row>
    <row r="222">
      <c r="A222" s="9" t="n">
        <v>44</v>
      </c>
      <c r="B222" s="9" t="inlineStr">
        <is>
          <t>2029-07-01</t>
        </is>
      </c>
      <c r="C222" s="24">
        <f>F221</f>
        <v/>
      </c>
      <c r="D222" s="24">
        <f>MAX(0,C222*$B$170/12)</f>
        <v/>
      </c>
      <c r="E222" s="24">
        <f>MAX(0,MIN(C222,$B$171-D222))</f>
        <v/>
      </c>
      <c r="F222" s="24">
        <f>MAX(0,C222-E222)</f>
        <v/>
      </c>
    </row>
    <row r="223">
      <c r="A223" s="9" t="n">
        <v>45</v>
      </c>
      <c r="B223" s="9" t="inlineStr">
        <is>
          <t>2029-08-01</t>
        </is>
      </c>
      <c r="C223" s="24">
        <f>F222</f>
        <v/>
      </c>
      <c r="D223" s="24">
        <f>MAX(0,C223*$B$170/12)</f>
        <v/>
      </c>
      <c r="E223" s="24">
        <f>MAX(0,MIN(C223,$B$171-D223))</f>
        <v/>
      </c>
      <c r="F223" s="24">
        <f>MAX(0,C223-E223)</f>
        <v/>
      </c>
    </row>
    <row r="224">
      <c r="A224" s="9" t="n">
        <v>46</v>
      </c>
      <c r="B224" s="9" t="inlineStr">
        <is>
          <t>2029-09-01</t>
        </is>
      </c>
      <c r="C224" s="24">
        <f>F223</f>
        <v/>
      </c>
      <c r="D224" s="24">
        <f>MAX(0,C224*$B$170/12)</f>
        <v/>
      </c>
      <c r="E224" s="24">
        <f>MAX(0,MIN(C224,$B$171-D224))</f>
        <v/>
      </c>
      <c r="F224" s="24">
        <f>MAX(0,C224-E224)</f>
        <v/>
      </c>
    </row>
    <row r="225">
      <c r="A225" s="9" t="n">
        <v>47</v>
      </c>
      <c r="B225" s="9" t="inlineStr">
        <is>
          <t>2029-10-01</t>
        </is>
      </c>
      <c r="C225" s="24">
        <f>F224</f>
        <v/>
      </c>
      <c r="D225" s="24">
        <f>MAX(0,C225*$B$170/12)</f>
        <v/>
      </c>
      <c r="E225" s="24">
        <f>MAX(0,MIN(C225,$B$171-D225))</f>
        <v/>
      </c>
      <c r="F225" s="24">
        <f>MAX(0,C225-E225)</f>
        <v/>
      </c>
    </row>
    <row r="226">
      <c r="A226" s="9" t="n">
        <v>48</v>
      </c>
      <c r="B226" s="9" t="inlineStr">
        <is>
          <t>2029-11-01</t>
        </is>
      </c>
      <c r="C226" s="24">
        <f>F225</f>
        <v/>
      </c>
      <c r="D226" s="24">
        <f>MAX(0,C226*$B$170/12)</f>
        <v/>
      </c>
      <c r="E226" s="24">
        <f>MAX(0,MIN(C226,$B$171-D226))</f>
        <v/>
      </c>
      <c r="F226" s="24">
        <f>MAX(0,C226-E226)</f>
        <v/>
      </c>
    </row>
    <row r="227">
      <c r="A227" s="9" t="n">
        <v>49</v>
      </c>
      <c r="B227" s="9" t="inlineStr">
        <is>
          <t>2029-12-01</t>
        </is>
      </c>
      <c r="C227" s="24">
        <f>F226</f>
        <v/>
      </c>
      <c r="D227" s="24">
        <f>MAX(0,C227*$B$170/12)</f>
        <v/>
      </c>
      <c r="E227" s="24">
        <f>MAX(0,MIN(C227,$B$171-D227))</f>
        <v/>
      </c>
      <c r="F227" s="24">
        <f>MAX(0,C227-E227)</f>
        <v/>
      </c>
    </row>
    <row r="228">
      <c r="A228" s="9" t="n">
        <v>50</v>
      </c>
      <c r="B228" s="9" t="inlineStr">
        <is>
          <t>2030-01-01</t>
        </is>
      </c>
      <c r="C228" s="24">
        <f>F227</f>
        <v/>
      </c>
      <c r="D228" s="24">
        <f>MAX(0,C228*$B$170/12)</f>
        <v/>
      </c>
      <c r="E228" s="24">
        <f>MAX(0,MIN(C228,$B$171-D228))</f>
        <v/>
      </c>
      <c r="F228" s="24">
        <f>MAX(0,C228-E228)</f>
        <v/>
      </c>
    </row>
    <row r="229">
      <c r="A229" s="9" t="n">
        <v>51</v>
      </c>
      <c r="B229" s="9" t="inlineStr">
        <is>
          <t>2030-02-01</t>
        </is>
      </c>
      <c r="C229" s="24">
        <f>F228</f>
        <v/>
      </c>
      <c r="D229" s="24">
        <f>MAX(0,C229*$B$170/12)</f>
        <v/>
      </c>
      <c r="E229" s="24">
        <f>MAX(0,MIN(C229,$B$171-D229))</f>
        <v/>
      </c>
      <c r="F229" s="24">
        <f>MAX(0,C229-E229)</f>
        <v/>
      </c>
    </row>
    <row r="230">
      <c r="A230" s="9" t="n">
        <v>52</v>
      </c>
      <c r="B230" s="9" t="inlineStr">
        <is>
          <t>2030-03-01</t>
        </is>
      </c>
      <c r="C230" s="24">
        <f>F229</f>
        <v/>
      </c>
      <c r="D230" s="24">
        <f>MAX(0,C230*$B$170/12)</f>
        <v/>
      </c>
      <c r="E230" s="24">
        <f>MAX(0,MIN(C230,$B$171-D230))</f>
        <v/>
      </c>
      <c r="F230" s="24">
        <f>MAX(0,C230-E230)</f>
        <v/>
      </c>
    </row>
    <row r="231">
      <c r="A231" s="9" t="n">
        <v>53</v>
      </c>
      <c r="B231" s="9" t="inlineStr">
        <is>
          <t>2030-04-01</t>
        </is>
      </c>
      <c r="C231" s="24">
        <f>F230</f>
        <v/>
      </c>
      <c r="D231" s="24">
        <f>MAX(0,C231*$B$170/12)</f>
        <v/>
      </c>
      <c r="E231" s="24">
        <f>MAX(0,MIN(C231,$B$171-D231))</f>
        <v/>
      </c>
      <c r="F231" s="24">
        <f>MAX(0,C231-E231)</f>
        <v/>
      </c>
    </row>
    <row r="232">
      <c r="A232" s="9" t="n">
        <v>54</v>
      </c>
      <c r="B232" s="9" t="inlineStr">
        <is>
          <t>2030-05-01</t>
        </is>
      </c>
      <c r="C232" s="24">
        <f>F231</f>
        <v/>
      </c>
      <c r="D232" s="24">
        <f>MAX(0,C232*$B$170/12)</f>
        <v/>
      </c>
      <c r="E232" s="24">
        <f>MAX(0,MIN(C232,$B$171-D232))</f>
        <v/>
      </c>
      <c r="F232" s="24">
        <f>MAX(0,C232-E232)</f>
        <v/>
      </c>
    </row>
    <row r="233">
      <c r="A233" s="9" t="n">
        <v>55</v>
      </c>
      <c r="B233" s="9" t="inlineStr">
        <is>
          <t>2030-06-01</t>
        </is>
      </c>
      <c r="C233" s="24">
        <f>F232</f>
        <v/>
      </c>
      <c r="D233" s="24">
        <f>MAX(0,C233*$B$170/12)</f>
        <v/>
      </c>
      <c r="E233" s="24">
        <f>MAX(0,MIN(C233,$B$171-D233))</f>
        <v/>
      </c>
      <c r="F233" s="24">
        <f>MAX(0,C233-E233)</f>
        <v/>
      </c>
    </row>
    <row r="234">
      <c r="A234" s="9" t="n">
        <v>56</v>
      </c>
      <c r="B234" s="9" t="inlineStr">
        <is>
          <t>2030-07-01</t>
        </is>
      </c>
      <c r="C234" s="24">
        <f>F233</f>
        <v/>
      </c>
      <c r="D234" s="24">
        <f>MAX(0,C234*$B$170/12)</f>
        <v/>
      </c>
      <c r="E234" s="24">
        <f>MAX(0,MIN(C234,$B$171-D234))</f>
        <v/>
      </c>
      <c r="F234" s="24">
        <f>MAX(0,C234-E234)</f>
        <v/>
      </c>
    </row>
    <row r="235">
      <c r="A235" s="9" t="n">
        <v>57</v>
      </c>
      <c r="B235" s="9" t="inlineStr">
        <is>
          <t>2030-08-01</t>
        </is>
      </c>
      <c r="C235" s="24">
        <f>F234</f>
        <v/>
      </c>
      <c r="D235" s="24">
        <f>MAX(0,C235*$B$170/12)</f>
        <v/>
      </c>
      <c r="E235" s="24">
        <f>MAX(0,MIN(C235,$B$171-D235))</f>
        <v/>
      </c>
      <c r="F235" s="24">
        <f>MAX(0,C235-E235)</f>
        <v/>
      </c>
    </row>
    <row r="236">
      <c r="A236" s="20" t="inlineStr">
        <is>
          <t>TOTAL</t>
        </is>
      </c>
      <c r="D236" s="25">
        <f>SUM(D179:D235)</f>
        <v/>
      </c>
      <c r="E236" s="25">
        <f>SUM(E179:E235)</f>
        <v/>
      </c>
    </row>
  </sheetData>
  <mergeCells count="9">
    <mergeCell ref="A2:F2"/>
    <mergeCell ref="A11:F11"/>
    <mergeCell ref="A177:F177"/>
    <mergeCell ref="A165:F165"/>
    <mergeCell ref="A103:F103"/>
    <mergeCell ref="A1:F1"/>
    <mergeCell ref="A17:F17"/>
    <mergeCell ref="A91:F91"/>
    <mergeCell ref="A29:F29"/>
  </mergeCells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tabColor rgb="00808080"/>
    <outlinePr summaryBelow="1" summaryRight="1"/>
    <pageSetUpPr/>
  </sheetPr>
  <dimension ref="A1:G77"/>
  <sheetViews>
    <sheetView workbookViewId="0">
      <selection activeCell="A1" sqref="A1"/>
    </sheetView>
  </sheetViews>
  <sheetFormatPr baseColWidth="8" defaultRowHeight="15"/>
  <cols>
    <col width="20" customWidth="1" min="1" max="1"/>
    <col width="3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>
      <c r="A1" s="26" t="inlineStr">
        <is>
          <t>WELLS FARGO LOANS</t>
        </is>
      </c>
    </row>
    <row r="2">
      <c r="A2" s="27" t="inlineStr"/>
      <c r="B2" s="27" t="inlineStr">
        <is>
          <t>Description</t>
        </is>
      </c>
      <c r="C2" s="27" t="inlineStr">
        <is>
          <t>Balance</t>
        </is>
      </c>
      <c r="D2" s="27" t="inlineStr">
        <is>
          <t>Rate</t>
        </is>
      </c>
      <c r="E2" s="27" t="inlineStr">
        <is>
          <t>Maturity</t>
        </is>
      </c>
      <c r="F2" s="27" t="inlineStr">
        <is>
          <t>Monthly Pmt</t>
        </is>
      </c>
    </row>
    <row r="3">
      <c r="A3" s="20" t="inlineStr">
        <is>
          <t>Loan 1</t>
        </is>
      </c>
      <c r="B3" t="inlineStr">
        <is>
          <t>40 Trailers acquired June 2017</t>
        </is>
      </c>
      <c r="C3" s="22" t="n">
        <v>60352</v>
      </c>
      <c r="D3" s="4" t="n">
        <v>0.0437</v>
      </c>
      <c r="E3" t="inlineStr">
        <is>
          <t>2026-01-21</t>
        </is>
      </c>
      <c r="F3" s="3" t="n">
        <v>16196.39</v>
      </c>
    </row>
    <row r="4">
      <c r="A4" s="20" t="inlineStr">
        <is>
          <t>Loan 2</t>
        </is>
      </c>
      <c r="B4" t="inlineStr">
        <is>
          <t>35 Trailers acquired July 2017</t>
        </is>
      </c>
      <c r="C4" s="22" t="n">
        <v>64607</v>
      </c>
      <c r="D4" s="4" t="n">
        <v>0.0437</v>
      </c>
      <c r="E4" t="inlineStr">
        <is>
          <t>2026-02-28</t>
        </is>
      </c>
      <c r="F4" s="3" t="n">
        <v>14085.87</v>
      </c>
    </row>
    <row r="5">
      <c r="A5" s="20" t="inlineStr">
        <is>
          <t>Loan 3</t>
        </is>
      </c>
      <c r="B5" t="inlineStr">
        <is>
          <t>27 Trailers acquired April 2018</t>
        </is>
      </c>
      <c r="C5" s="22" t="n">
        <v>130445</v>
      </c>
      <c r="D5" s="4" t="n">
        <v>0.0472</v>
      </c>
      <c r="E5" t="inlineStr">
        <is>
          <t>2025-07-23</t>
        </is>
      </c>
      <c r="F5" s="3" t="n">
        <v>11128.29</v>
      </c>
    </row>
    <row r="6">
      <c r="A6" s="20" t="inlineStr">
        <is>
          <t>TOTAL</t>
        </is>
      </c>
      <c r="C6" s="25">
        <f>SUM(C3:C5)</f>
        <v/>
      </c>
      <c r="F6" s="21">
        <f>SUM(F3:F5)</f>
        <v/>
      </c>
    </row>
    <row r="8">
      <c r="A8" s="28" t="inlineStr">
        <is>
          <t>AI ANALYSIS</t>
        </is>
      </c>
    </row>
    <row r="9">
      <c r="A9" s="29" t="inlineStr">
        <is>
          <t>Loan Classification:</t>
        </is>
      </c>
      <c r="B9" s="6" t="inlineStr">
        <is>
          <t>All 3 loans are standard amortizing equipment loans secured by trailers</t>
        </is>
      </c>
      <c r="C9" s="6" t="n"/>
      <c r="D9" s="6" t="n"/>
      <c r="E9" s="6" t="n"/>
      <c r="F9" s="6" t="n"/>
    </row>
    <row r="10">
      <c r="A10" s="29" t="inlineStr">
        <is>
          <t>Lender:</t>
        </is>
      </c>
      <c r="B10" s="6" t="inlineStr">
        <is>
          <t>Wells Fargo Equipment Finance</t>
        </is>
      </c>
      <c r="C10" s="6" t="n"/>
      <c r="D10" s="6" t="n"/>
      <c r="E10" s="6" t="n"/>
      <c r="F10" s="6" t="n"/>
    </row>
    <row r="11">
      <c r="A11" s="29" t="inlineStr">
        <is>
          <t>Collateral:</t>
        </is>
      </c>
      <c r="B11" s="6" t="inlineStr">
        <is>
          <t>Total 102 trailers (40 + 35 + 27) acquired 2017-2018</t>
        </is>
      </c>
      <c r="C11" s="6" t="n"/>
      <c r="D11" s="6" t="n"/>
      <c r="E11" s="6" t="n"/>
      <c r="F11" s="6" t="n"/>
    </row>
    <row r="12">
      <c r="A12" s="29" t="inlineStr">
        <is>
          <t>Maturity Risk:</t>
        </is>
      </c>
      <c r="B12" s="6" t="inlineStr">
        <is>
          <t>Loan 3 matures July 2025 (PAST DUE); Loans 1&amp;2 mature Jan-Feb 2026</t>
        </is>
      </c>
      <c r="C12" s="6" t="n"/>
      <c r="D12" s="6" t="n"/>
      <c r="E12" s="6" t="n"/>
      <c r="F12" s="6" t="n"/>
    </row>
    <row r="13">
      <c r="A13" s="29" t="inlineStr">
        <is>
          <t>Interest Rates:</t>
        </is>
      </c>
      <c r="B13" s="6" t="inlineStr">
        <is>
          <t>Fixed rates 4.37% (Loans 1&amp;2) and 4.72% (Loan 3)</t>
        </is>
      </c>
      <c r="C13" s="6" t="n"/>
      <c r="D13" s="6" t="n"/>
      <c r="E13" s="6" t="n"/>
      <c r="F13" s="6" t="n"/>
    </row>
    <row r="14">
      <c r="A14" s="29" t="inlineStr">
        <is>
          <t>Amortization:</t>
        </is>
      </c>
      <c r="B14" s="6" t="inlineStr">
        <is>
          <t>All loans fully amortizing with final balloon = $0</t>
        </is>
      </c>
      <c r="C14" s="6" t="n"/>
      <c r="D14" s="6" t="n"/>
      <c r="E14" s="6" t="n"/>
      <c r="F14" s="6" t="n"/>
    </row>
    <row r="15">
      <c r="A15" s="29" t="inlineStr">
        <is>
          <t>Status Note:</t>
        </is>
      </c>
      <c r="B15" s="6" t="inlineStr">
        <is>
          <t>Near payoff - all 3 loans have &lt;$131K remaining balance</t>
        </is>
      </c>
      <c r="C15" s="6" t="n"/>
      <c r="D15" s="6" t="n"/>
      <c r="E15" s="6" t="n"/>
      <c r="F15" s="6" t="n"/>
    </row>
    <row r="18">
      <c r="A18" s="26" t="inlineStr">
        <is>
          <t>LOAN 1: 40 TRAILERS (JUNE 2017)</t>
        </is>
      </c>
    </row>
    <row r="19">
      <c r="A19" t="inlineStr">
        <is>
          <t>Loan ID:</t>
        </is>
      </c>
      <c r="B19" t="inlineStr">
        <is>
          <t>05-2942-000-000-00</t>
        </is>
      </c>
    </row>
    <row r="20">
      <c r="A20" t="inlineStr">
        <is>
          <t>Account:</t>
        </is>
      </c>
      <c r="B20" t="inlineStr">
        <is>
          <t>001-0412932-001</t>
        </is>
      </c>
    </row>
    <row r="21">
      <c r="A21" t="inlineStr">
        <is>
          <t>Original Balance:</t>
        </is>
      </c>
      <c r="B21" s="3" t="n">
        <v>1414140</v>
      </c>
    </row>
    <row r="22">
      <c r="A22" t="inlineStr">
        <is>
          <t>Opening Balance (Nov 2025):</t>
        </is>
      </c>
      <c r="B22" s="3" t="n">
        <v>60352</v>
      </c>
    </row>
    <row r="23">
      <c r="A23" t="inlineStr">
        <is>
          <t>Annual Interest Rate:</t>
        </is>
      </c>
      <c r="B23" s="4" t="n">
        <v>0.0437</v>
      </c>
    </row>
    <row r="24">
      <c r="A24" t="inlineStr">
        <is>
          <t>Monthly Payment:</t>
        </is>
      </c>
      <c r="B24" s="3" t="n">
        <v>16196.39</v>
      </c>
    </row>
    <row r="25">
      <c r="A25" t="inlineStr">
        <is>
          <t>Origination Date:</t>
        </is>
      </c>
      <c r="B25" t="inlineStr">
        <is>
          <t>2017-06-21</t>
        </is>
      </c>
    </row>
    <row r="26">
      <c r="A26" t="inlineStr">
        <is>
          <t>Maturity Date:</t>
        </is>
      </c>
      <c r="B26" t="inlineStr">
        <is>
          <t>2026-01-21</t>
        </is>
      </c>
    </row>
    <row r="27">
      <c r="A27" t="inlineStr">
        <is>
          <t>Loan Type:</t>
        </is>
      </c>
      <c r="B27" t="inlineStr">
        <is>
          <t>AMORTIZING</t>
        </is>
      </c>
    </row>
    <row r="28">
      <c r="A28" t="inlineStr">
        <is>
          <t>Use:</t>
        </is>
      </c>
      <c r="B28" t="inlineStr">
        <is>
          <t>Equipment (Trailers)</t>
        </is>
      </c>
    </row>
    <row r="30">
      <c r="A30" s="30" t="inlineStr">
        <is>
          <t>Month #</t>
        </is>
      </c>
      <c r="B30" s="30" t="inlineStr">
        <is>
          <t>Date</t>
        </is>
      </c>
      <c r="C30" s="30" t="inlineStr">
        <is>
          <t>Opening Bal</t>
        </is>
      </c>
      <c r="D30" s="30" t="inlineStr">
        <is>
          <t>Interest</t>
        </is>
      </c>
      <c r="E30" s="30" t="inlineStr">
        <is>
          <t>Principal</t>
        </is>
      </c>
      <c r="F30" s="30" t="inlineStr">
        <is>
          <t>Closing Bal</t>
        </is>
      </c>
    </row>
    <row r="31">
      <c r="A31" t="n">
        <v>1</v>
      </c>
      <c r="B31" t="inlineStr">
        <is>
          <t>2025-12-01</t>
        </is>
      </c>
      <c r="C31" s="19">
        <f>B22</f>
        <v/>
      </c>
      <c r="D31" s="19">
        <f>MAX(0,C31*$B$23/12)</f>
        <v/>
      </c>
      <c r="E31" s="19">
        <f>MAX(0,MIN(C31,$B$24-D31))</f>
        <v/>
      </c>
      <c r="F31" s="19">
        <f>MAX(0,C31-E31)</f>
        <v/>
      </c>
    </row>
    <row r="32">
      <c r="A32" t="n">
        <v>2</v>
      </c>
      <c r="B32" t="inlineStr">
        <is>
          <t>2026-01-01</t>
        </is>
      </c>
      <c r="C32" s="19">
        <f>F31</f>
        <v/>
      </c>
      <c r="D32" s="19">
        <f>MAX(0,C32*$B$23/12)</f>
        <v/>
      </c>
      <c r="E32" s="19">
        <f>MAX(0,MIN(C32,$B$24-D32))</f>
        <v/>
      </c>
      <c r="F32" s="19">
        <f>MAX(0,C32-E32)</f>
        <v/>
      </c>
    </row>
    <row r="33">
      <c r="A33" s="20" t="inlineStr">
        <is>
          <t>TOTAL</t>
        </is>
      </c>
      <c r="D33" s="21">
        <f>SUM(D31:D32)</f>
        <v/>
      </c>
      <c r="E33" s="21">
        <f>SUM(E31:E32)</f>
        <v/>
      </c>
    </row>
    <row r="36">
      <c r="A36" s="26" t="inlineStr">
        <is>
          <t>LOAN 2: 35 TRAILERS (JULY 2017)</t>
        </is>
      </c>
    </row>
    <row r="37">
      <c r="A37" t="inlineStr">
        <is>
          <t>Loan ID:</t>
        </is>
      </c>
      <c r="B37" t="inlineStr">
        <is>
          <t>05-2943-000-000-00</t>
        </is>
      </c>
    </row>
    <row r="38">
      <c r="A38" t="inlineStr">
        <is>
          <t>Account:</t>
        </is>
      </c>
      <c r="B38" t="inlineStr">
        <is>
          <t>001-0024599-000</t>
        </is>
      </c>
    </row>
    <row r="39">
      <c r="A39" t="inlineStr">
        <is>
          <t>Original Balance:</t>
        </is>
      </c>
      <c r="B39" s="3" t="n">
        <v>1248367.75</v>
      </c>
    </row>
    <row r="40">
      <c r="A40" t="inlineStr">
        <is>
          <t>Opening Balance (Nov 2025):</t>
        </is>
      </c>
      <c r="B40" s="3" t="n">
        <v>64607</v>
      </c>
    </row>
    <row r="41">
      <c r="A41" t="inlineStr">
        <is>
          <t>Annual Interest Rate:</t>
        </is>
      </c>
      <c r="B41" s="4" t="n">
        <v>0.0437</v>
      </c>
    </row>
    <row r="42">
      <c r="A42" t="inlineStr">
        <is>
          <t>Monthly Payment:</t>
        </is>
      </c>
      <c r="B42" s="3" t="n">
        <v>14085.87</v>
      </c>
    </row>
    <row r="43">
      <c r="A43" t="inlineStr">
        <is>
          <t>Origination Date:</t>
        </is>
      </c>
      <c r="B43" t="inlineStr">
        <is>
          <t>2017-07-31</t>
        </is>
      </c>
    </row>
    <row r="44">
      <c r="A44" t="inlineStr">
        <is>
          <t>Maturity Date:</t>
        </is>
      </c>
      <c r="B44" t="inlineStr">
        <is>
          <t>2026-02-28</t>
        </is>
      </c>
    </row>
    <row r="45">
      <c r="A45" t="inlineStr">
        <is>
          <t>Loan Type:</t>
        </is>
      </c>
      <c r="B45" t="inlineStr">
        <is>
          <t>AMORTIZING</t>
        </is>
      </c>
    </row>
    <row r="46">
      <c r="A46" t="inlineStr">
        <is>
          <t>Use:</t>
        </is>
      </c>
      <c r="B46" t="inlineStr">
        <is>
          <t>Equipment (Trailers)</t>
        </is>
      </c>
    </row>
    <row r="48">
      <c r="A48" s="30" t="inlineStr">
        <is>
          <t>Month #</t>
        </is>
      </c>
      <c r="B48" s="30" t="inlineStr">
        <is>
          <t>Date</t>
        </is>
      </c>
      <c r="C48" s="30" t="inlineStr">
        <is>
          <t>Opening Bal</t>
        </is>
      </c>
      <c r="D48" s="30" t="inlineStr">
        <is>
          <t>Interest</t>
        </is>
      </c>
      <c r="E48" s="30" t="inlineStr">
        <is>
          <t>Principal</t>
        </is>
      </c>
      <c r="F48" s="30" t="inlineStr">
        <is>
          <t>Closing Bal</t>
        </is>
      </c>
    </row>
    <row r="49">
      <c r="A49" t="n">
        <v>1</v>
      </c>
      <c r="B49" t="inlineStr">
        <is>
          <t>2025-12-01</t>
        </is>
      </c>
      <c r="C49" s="19">
        <f>B40</f>
        <v/>
      </c>
      <c r="D49" s="19">
        <f>MAX(0,C49*$B$41/12)</f>
        <v/>
      </c>
      <c r="E49" s="19">
        <f>MAX(0,MIN(C49,$B$42-D49))</f>
        <v/>
      </c>
      <c r="F49" s="19">
        <f>MAX(0,C49-E49)</f>
        <v/>
      </c>
    </row>
    <row r="50">
      <c r="A50" t="n">
        <v>2</v>
      </c>
      <c r="B50" t="inlineStr">
        <is>
          <t>2026-01-01</t>
        </is>
      </c>
      <c r="C50" s="19">
        <f>F49</f>
        <v/>
      </c>
      <c r="D50" s="19">
        <f>MAX(0,C50*$B$41/12)</f>
        <v/>
      </c>
      <c r="E50" s="19">
        <f>MAX(0,MIN(C50,$B$42-D50))</f>
        <v/>
      </c>
      <c r="F50" s="19">
        <f>MAX(0,C50-E50)</f>
        <v/>
      </c>
    </row>
    <row r="51">
      <c r="A51" t="n">
        <v>3</v>
      </c>
      <c r="B51" t="inlineStr">
        <is>
          <t>2026-02-01</t>
        </is>
      </c>
      <c r="C51" s="19">
        <f>F50</f>
        <v/>
      </c>
      <c r="D51" s="19">
        <f>MAX(0,C51*$B$41/12)</f>
        <v/>
      </c>
      <c r="E51" s="19">
        <f>MAX(0,MIN(C51,$B$42-D51))</f>
        <v/>
      </c>
      <c r="F51" s="19">
        <f>MAX(0,C51-E51)</f>
        <v/>
      </c>
    </row>
    <row r="52">
      <c r="A52" s="20" t="inlineStr">
        <is>
          <t>TOTAL</t>
        </is>
      </c>
      <c r="D52" s="21">
        <f>SUM(D49:D51)</f>
        <v/>
      </c>
      <c r="E52" s="21">
        <f>SUM(E49:E51)</f>
        <v/>
      </c>
    </row>
    <row r="55">
      <c r="A55" s="26" t="inlineStr">
        <is>
          <t>LOAN 3: 27 TRAILERS (APRIL 2018)</t>
        </is>
      </c>
    </row>
    <row r="56">
      <c r="A56" t="inlineStr">
        <is>
          <t>Loan ID:</t>
        </is>
      </c>
      <c r="B56" t="inlineStr">
        <is>
          <t>05-2945-000-000-00</t>
        </is>
      </c>
    </row>
    <row r="57">
      <c r="A57" t="inlineStr">
        <is>
          <t>Account:</t>
        </is>
      </c>
      <c r="B57" t="inlineStr">
        <is>
          <t>412932-105</t>
        </is>
      </c>
    </row>
    <row r="58">
      <c r="A58" t="inlineStr">
        <is>
          <t>Original Balance:</t>
        </is>
      </c>
      <c r="B58" s="3" t="n">
        <v>920656</v>
      </c>
    </row>
    <row r="59">
      <c r="A59" t="inlineStr">
        <is>
          <t>Opening Balance (Nov 2025):</t>
        </is>
      </c>
      <c r="B59" s="3" t="n">
        <v>130445</v>
      </c>
    </row>
    <row r="60">
      <c r="A60" t="inlineStr">
        <is>
          <t>Annual Interest Rate:</t>
        </is>
      </c>
      <c r="B60" s="4" t="n">
        <v>0.0472</v>
      </c>
    </row>
    <row r="61">
      <c r="A61" t="inlineStr">
        <is>
          <t>Monthly Payment:</t>
        </is>
      </c>
      <c r="B61" s="3" t="n">
        <v>11128.29</v>
      </c>
    </row>
    <row r="62">
      <c r="A62" t="inlineStr">
        <is>
          <t>Origination Date:</t>
        </is>
      </c>
      <c r="B62" t="inlineStr">
        <is>
          <t>2018-04-13</t>
        </is>
      </c>
    </row>
    <row r="63">
      <c r="A63" t="inlineStr">
        <is>
          <t>Maturity Date:</t>
        </is>
      </c>
      <c r="B63" t="inlineStr">
        <is>
          <t>2025-07-23</t>
        </is>
      </c>
    </row>
    <row r="64">
      <c r="A64" t="inlineStr">
        <is>
          <t>Loan Type:</t>
        </is>
      </c>
      <c r="B64" t="inlineStr">
        <is>
          <t>AMORTIZING</t>
        </is>
      </c>
    </row>
    <row r="65">
      <c r="A65" t="inlineStr">
        <is>
          <t>Use:</t>
        </is>
      </c>
      <c r="B65" t="inlineStr">
        <is>
          <t>Equipment (Trailers)</t>
        </is>
      </c>
    </row>
    <row r="67">
      <c r="A67" s="30" t="inlineStr">
        <is>
          <t>Month #</t>
        </is>
      </c>
      <c r="B67" s="30" t="inlineStr">
        <is>
          <t>Date</t>
        </is>
      </c>
      <c r="C67" s="30" t="inlineStr">
        <is>
          <t>Opening Bal</t>
        </is>
      </c>
      <c r="D67" s="30" t="inlineStr">
        <is>
          <t>Interest</t>
        </is>
      </c>
      <c r="E67" s="30" t="inlineStr">
        <is>
          <t>Principal</t>
        </is>
      </c>
      <c r="F67" s="30" t="inlineStr">
        <is>
          <t>Closing Bal</t>
        </is>
      </c>
    </row>
    <row r="68">
      <c r="A68" t="n">
        <v>1</v>
      </c>
      <c r="B68" t="inlineStr">
        <is>
          <t>2025-12-01</t>
        </is>
      </c>
      <c r="C68" s="19">
        <f>B59</f>
        <v/>
      </c>
      <c r="D68" s="19">
        <f>MAX(0,C68*$B$60/12)</f>
        <v/>
      </c>
      <c r="E68" s="19">
        <f>MAX(0,MIN(C68,$B$61-D68))</f>
        <v/>
      </c>
      <c r="F68" s="19">
        <f>MAX(0,C68-E68)</f>
        <v/>
      </c>
    </row>
    <row r="69">
      <c r="A69" s="20" t="inlineStr">
        <is>
          <t>TOTAL</t>
        </is>
      </c>
      <c r="D69" s="21">
        <f>SUM(D68:D68)</f>
        <v/>
      </c>
      <c r="E69" s="21">
        <f>SUM(E68:E68)</f>
        <v/>
      </c>
    </row>
    <row r="72">
      <c r="A72" s="26" t="inlineStr">
        <is>
          <t>ANNUAL SUMMARY - ALL WELLS FARGO LOANS</t>
        </is>
      </c>
    </row>
    <row r="73">
      <c r="A73" s="27" t="inlineStr">
        <is>
          <t>Year</t>
        </is>
      </c>
      <c r="B73" s="27" t="inlineStr">
        <is>
          <t>Opening Bal</t>
        </is>
      </c>
      <c r="C73" s="27" t="inlineStr">
        <is>
          <t>Interest</t>
        </is>
      </c>
      <c r="D73" s="27" t="inlineStr">
        <is>
          <t>Principal</t>
        </is>
      </c>
      <c r="E73" s="27" t="inlineStr">
        <is>
          <t>Closing Bal</t>
        </is>
      </c>
      <c r="F73" s="27" t="inlineStr">
        <is>
          <t>Check</t>
        </is>
      </c>
    </row>
    <row r="74">
      <c r="A74" t="inlineStr">
        <is>
          <t>2025 (Dec)</t>
        </is>
      </c>
      <c r="B74" s="31">
        <f>SUM(C3:C5)</f>
        <v/>
      </c>
    </row>
    <row r="75">
      <c r="A75" t="inlineStr">
        <is>
          <t>2026</t>
        </is>
      </c>
    </row>
    <row r="77">
      <c r="A77" s="20" t="inlineStr">
        <is>
          <t>Closing = Current + LT</t>
        </is>
      </c>
      <c r="B77" t="inlineStr">
        <is>
          <t>See Debt Schedule</t>
        </is>
      </c>
    </row>
  </sheetData>
  <mergeCells count="6">
    <mergeCell ref="A36:G36"/>
    <mergeCell ref="A18:G18"/>
    <mergeCell ref="A1:F1"/>
    <mergeCell ref="A55:G55"/>
    <mergeCell ref="A8:F8"/>
    <mergeCell ref="A72:F72"/>
  </mergeCells>
  <pageMargins left="0.75" right="0.75" top="1" bottom="1" header="0.5" footer="0.5"/>
  <legacyDrawing xmlns:r="http://schemas.openxmlformats.org/officeDocument/2006/relationships" r:id="anysvml"/>
</worksheet>
</file>

<file path=xl/worksheets/sheet8.xml><?xml version="1.0" encoding="utf-8"?>
<worksheet xmlns="http://schemas.openxmlformats.org/spreadsheetml/2006/main">
  <sheetPr>
    <tabColor rgb="00808080"/>
    <outlinePr summaryBelow="1" summaryRight="1"/>
    <pageSetUpPr/>
  </sheetPr>
  <dimension ref="A1:I331"/>
  <sheetViews>
    <sheetView workbookViewId="0">
      <selection activeCell="A1" sqref="A1"/>
    </sheetView>
  </sheetViews>
  <sheetFormatPr baseColWidth="8" defaultRowHeight="15"/>
  <cols>
    <col width="6" customWidth="1" min="1" max="1"/>
    <col width="3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>
      <c r="A1" s="32" t="inlineStr">
        <is>
          <t>WEBSTER CAPITAL FINANCE - LOAN SUMMARY</t>
        </is>
      </c>
      <c r="B1" s="33" t="n"/>
      <c r="C1" s="33" t="n"/>
      <c r="D1" s="33" t="n"/>
      <c r="E1" s="33" t="n"/>
      <c r="F1" s="33" t="n"/>
      <c r="G1" s="33" t="n"/>
      <c r="H1" s="33" t="n"/>
      <c r="I1" s="33" t="n"/>
    </row>
    <row r="2">
      <c r="B2" t="inlineStr">
        <is>
          <t>Lender:</t>
        </is>
      </c>
      <c r="C2" t="inlineStr">
        <is>
          <t>Webster Capital Finance</t>
        </is>
      </c>
    </row>
    <row r="3">
      <c r="B3" t="inlineStr">
        <is>
          <t>As of Date:</t>
        </is>
      </c>
      <c r="C3" s="2" t="inlineStr">
        <is>
          <t>2025-11-30</t>
        </is>
      </c>
    </row>
    <row r="4">
      <c r="B4" t="inlineStr">
        <is>
          <t>Number of Loans:</t>
        </is>
      </c>
      <c r="C4" s="2" t="n">
        <v>6</v>
      </c>
    </row>
    <row r="5">
      <c r="B5" t="inlineStr">
        <is>
          <t>Total Remaining Balance:</t>
        </is>
      </c>
      <c r="C5" s="22" t="n">
        <v>3929806</v>
      </c>
    </row>
    <row r="6">
      <c r="B6" t="inlineStr">
        <is>
          <t>Total Monthly Payment:</t>
        </is>
      </c>
      <c r="C6" s="3" t="n">
        <v>100297.2</v>
      </c>
    </row>
    <row r="8">
      <c r="A8" s="23" t="inlineStr">
        <is>
          <t>#</t>
        </is>
      </c>
      <c r="B8" s="23" t="inlineStr">
        <is>
          <t>Loan Description</t>
        </is>
      </c>
      <c r="C8" s="23" t="inlineStr">
        <is>
          <t>Loan ID</t>
        </is>
      </c>
      <c r="D8" s="23" t="inlineStr">
        <is>
          <t>Remaining Balance</t>
        </is>
      </c>
      <c r="E8" s="23" t="inlineStr">
        <is>
          <t>Rate</t>
        </is>
      </c>
      <c r="F8" s="23" t="inlineStr">
        <is>
          <t>Monthly Payment</t>
        </is>
      </c>
      <c r="G8" s="23" t="inlineStr">
        <is>
          <t>Maturity Date</t>
        </is>
      </c>
      <c r="H8" s="23" t="inlineStr">
        <is>
          <t>Months Rem</t>
        </is>
      </c>
    </row>
    <row r="9">
      <c r="A9" s="34" t="n">
        <v>1</v>
      </c>
      <c r="B9" s="34" t="inlineStr">
        <is>
          <t>25 Trailers (2019)</t>
        </is>
      </c>
      <c r="C9" s="34" t="inlineStr">
        <is>
          <t>05-2939-000-000-00</t>
        </is>
      </c>
      <c r="D9" s="35" t="n">
        <v>185762</v>
      </c>
      <c r="E9" s="36" t="n">
        <v>0.0401</v>
      </c>
      <c r="F9" s="37" t="n">
        <v>13579.4</v>
      </c>
      <c r="G9" s="34" t="inlineStr">
        <is>
          <t>2027-01-02</t>
        </is>
      </c>
      <c r="H9" s="34" t="n">
        <v>14</v>
      </c>
    </row>
    <row r="10">
      <c r="A10" s="34" t="n">
        <v>2</v>
      </c>
      <c r="B10" s="34" t="inlineStr">
        <is>
          <t>3 Freightliner Daycabs (Sept 2021)</t>
        </is>
      </c>
      <c r="C10" s="34" t="inlineStr">
        <is>
          <t>05-2939-001-000-00</t>
        </is>
      </c>
      <c r="D10" s="35" t="n">
        <v>75255</v>
      </c>
      <c r="E10" s="36" t="n">
        <v>0.0272</v>
      </c>
      <c r="F10" s="37" t="n">
        <v>4156.5</v>
      </c>
      <c r="G10" s="34" t="inlineStr">
        <is>
          <t>2027-06-21</t>
        </is>
      </c>
      <c r="H10" s="34" t="n">
        <v>19</v>
      </c>
    </row>
    <row r="11">
      <c r="A11" s="34" t="n">
        <v>3</v>
      </c>
      <c r="B11" s="34" t="inlineStr">
        <is>
          <t>25 Trailers (Oct 2021)</t>
        </is>
      </c>
      <c r="C11" s="34" t="inlineStr">
        <is>
          <t>05-2939-002-000-00</t>
        </is>
      </c>
      <c r="D11" s="35" t="n">
        <v>576156</v>
      </c>
      <c r="E11" s="36" t="n">
        <v>0.0298</v>
      </c>
      <c r="F11" s="37" t="n">
        <v>15519.44</v>
      </c>
      <c r="G11" s="34" t="inlineStr">
        <is>
          <t>2029-02-08</t>
        </is>
      </c>
      <c r="H11" s="34" t="n">
        <v>39</v>
      </c>
    </row>
    <row r="12">
      <c r="A12" s="34" t="n">
        <v>4</v>
      </c>
      <c r="B12" s="34" t="inlineStr">
        <is>
          <t>30 Trailers (June 2022)</t>
        </is>
      </c>
      <c r="C12" s="34" t="inlineStr">
        <is>
          <t>05-2939-003-000-00</t>
        </is>
      </c>
      <c r="D12" s="35" t="n">
        <v>1179533</v>
      </c>
      <c r="E12" s="36" t="n">
        <v>0.0437</v>
      </c>
      <c r="F12" s="37" t="n">
        <v>27900.53</v>
      </c>
      <c r="G12" s="34" t="inlineStr">
        <is>
          <t>2029-09-15</t>
        </is>
      </c>
      <c r="H12" s="34" t="n">
        <v>46</v>
      </c>
    </row>
    <row r="13">
      <c r="A13" s="34" t="n">
        <v>5</v>
      </c>
      <c r="B13" s="34" t="inlineStr">
        <is>
          <t>7 T680 Trucks (March 2023)</t>
        </is>
      </c>
      <c r="C13" s="34" t="inlineStr">
        <is>
          <t>05-2939-005-000-00</t>
        </is>
      </c>
      <c r="D13" s="35" t="n">
        <v>785484</v>
      </c>
      <c r="E13" s="36" t="n">
        <v>0.0572</v>
      </c>
      <c r="F13" s="37" t="n">
        <v>15902.49</v>
      </c>
      <c r="G13" s="34" t="inlineStr">
        <is>
          <t>2028-12-29</t>
        </is>
      </c>
      <c r="H13" s="34" t="n">
        <v>37</v>
      </c>
    </row>
    <row r="14">
      <c r="A14" s="34" t="n">
        <v>6</v>
      </c>
      <c r="B14" s="34" t="inlineStr">
        <is>
          <t>25 Trailers (April 2023)</t>
        </is>
      </c>
      <c r="C14" s="34" t="inlineStr">
        <is>
          <t>05-2939-006-000-00</t>
        </is>
      </c>
      <c r="D14" s="35" t="n">
        <v>1127616</v>
      </c>
      <c r="E14" s="36" t="n">
        <v>0.0615</v>
      </c>
      <c r="F14" s="37" t="n">
        <v>23238.84</v>
      </c>
      <c r="G14" s="34" t="inlineStr">
        <is>
          <t>2030-07-21</t>
        </is>
      </c>
      <c r="H14" s="34" t="n">
        <v>56</v>
      </c>
    </row>
    <row r="17">
      <c r="A17" s="38" t="inlineStr">
        <is>
          <t>AI ANALYSIS</t>
        </is>
      </c>
      <c r="B17" s="6" t="n"/>
      <c r="C17" s="6" t="n"/>
      <c r="D17" s="6" t="n"/>
      <c r="E17" s="6" t="n"/>
      <c r="F17" s="6" t="n"/>
      <c r="G17" s="6" t="n"/>
      <c r="H17" s="6" t="n"/>
    </row>
    <row r="18">
      <c r="A18" s="6" t="n"/>
      <c r="B18" s="17" t="inlineStr">
        <is>
          <t>Loan Type Classification:</t>
        </is>
      </c>
      <c r="C18" s="6" t="inlineStr">
        <is>
          <t>All 6 loans are standard AMORTIZING equipment loans with fixed monthly P&amp;I payments.</t>
        </is>
      </c>
      <c r="D18" s="6" t="n"/>
      <c r="E18" s="6" t="n"/>
      <c r="F18" s="6" t="n"/>
      <c r="G18" s="6" t="n"/>
      <c r="H18" s="6" t="n"/>
    </row>
    <row r="19">
      <c r="A19" s="6" t="n"/>
      <c r="B19" s="17" t="inlineStr">
        <is>
          <t>Collateral:</t>
        </is>
      </c>
      <c r="C19" s="6" t="inlineStr">
        <is>
          <t>Equipment financing secured by trailers and semi trucks (Freightliner, Kenworth T680).</t>
        </is>
      </c>
      <c r="D19" s="6" t="n"/>
      <c r="E19" s="6" t="n"/>
      <c r="F19" s="6" t="n"/>
      <c r="G19" s="6" t="n"/>
      <c r="H19" s="6" t="n"/>
    </row>
    <row r="20">
      <c r="A20" s="6" t="n"/>
      <c r="B20" s="17" t="inlineStr">
        <is>
          <t>Rate Analysis:</t>
        </is>
      </c>
      <c r="C20" s="6" t="inlineStr">
        <is>
          <t>Rates range from 2.72% to 6.15%, reflecting market conditions at origination dates (2019-2023).</t>
        </is>
      </c>
      <c r="D20" s="6" t="n"/>
      <c r="E20" s="6" t="n"/>
      <c r="F20" s="6" t="n"/>
      <c r="G20" s="6" t="n"/>
      <c r="H20" s="6" t="n"/>
    </row>
    <row r="21">
      <c r="A21" s="6" t="n"/>
      <c r="B21" s="17" t="inlineStr">
        <is>
          <t>Portfolio Maturity:</t>
        </is>
      </c>
      <c r="C21" s="6" t="inlineStr">
        <is>
          <t>Earliest maturity Jan 2027, latest July 2030. No balloon payments.</t>
        </is>
      </c>
      <c r="D21" s="6" t="n"/>
      <c r="E21" s="6" t="n"/>
      <c r="F21" s="6" t="n"/>
      <c r="G21" s="6" t="n"/>
      <c r="H21" s="6" t="n"/>
    </row>
    <row r="22">
      <c r="A22" s="6" t="n"/>
      <c r="B22" s="17" t="inlineStr">
        <is>
          <t>Amortization Notes:</t>
        </is>
      </c>
      <c r="C22" s="6" t="inlineStr">
        <is>
          <t>Standard P&amp;I amortization. Interest calculated on declining balance. MAX(0,...) formulas prevent negative values.</t>
        </is>
      </c>
      <c r="D22" s="6" t="n"/>
      <c r="E22" s="6" t="n"/>
      <c r="F22" s="6" t="n"/>
      <c r="G22" s="6" t="n"/>
      <c r="H22" s="6" t="n"/>
    </row>
    <row r="25">
      <c r="A25" s="39" t="inlineStr">
        <is>
          <t>LOAN 1: 25 Trailers (2019)</t>
        </is>
      </c>
      <c r="B25" s="33" t="n"/>
      <c r="C25" s="33" t="n"/>
      <c r="D25" s="33" t="n"/>
      <c r="E25" s="33" t="n"/>
      <c r="F25" s="33" t="n"/>
      <c r="G25" s="33" t="n"/>
      <c r="H25" s="33" t="n"/>
    </row>
    <row r="26">
      <c r="B26" t="inlineStr">
        <is>
          <t>Loan ID:</t>
        </is>
      </c>
      <c r="C26" s="2" t="inlineStr">
        <is>
          <t>05-2939-000-000-00</t>
        </is>
      </c>
    </row>
    <row r="27">
      <c r="B27" t="inlineStr">
        <is>
          <t>Account:</t>
        </is>
      </c>
      <c r="C27" s="2" t="inlineStr">
        <is>
          <t>02</t>
        </is>
      </c>
    </row>
    <row r="28">
      <c r="B28" t="inlineStr">
        <is>
          <t>Origination Date:</t>
        </is>
      </c>
      <c r="C28" s="2" t="inlineStr">
        <is>
          <t>2019-06-20</t>
        </is>
      </c>
    </row>
    <row r="29">
      <c r="B29" t="inlineStr">
        <is>
          <t>Maturity Date:</t>
        </is>
      </c>
      <c r="C29" s="2" t="inlineStr">
        <is>
          <t>2027-01-02</t>
        </is>
      </c>
    </row>
    <row r="30">
      <c r="B30" t="inlineStr">
        <is>
          <t>Original Balance:</t>
        </is>
      </c>
      <c r="C30" s="3" t="n">
        <v>981215</v>
      </c>
    </row>
    <row r="31">
      <c r="B31" t="inlineStr">
        <is>
          <t>Remaining Balance (Nov 2025):</t>
        </is>
      </c>
      <c r="C31" s="3" t="n">
        <v>185762</v>
      </c>
    </row>
    <row r="32">
      <c r="B32" t="inlineStr">
        <is>
          <t>Annual Interest Rate:</t>
        </is>
      </c>
      <c r="C32" s="4" t="n">
        <v>0.0401</v>
      </c>
    </row>
    <row r="33">
      <c r="B33" t="inlineStr">
        <is>
          <t>Monthly Payment:</t>
        </is>
      </c>
      <c r="C33" s="3" t="n">
        <v>13579.4</v>
      </c>
    </row>
    <row r="34">
      <c r="B34" t="inlineStr">
        <is>
          <t>Loan Type:</t>
        </is>
      </c>
      <c r="C34" s="2" t="inlineStr">
        <is>
          <t>AMORTIZING</t>
        </is>
      </c>
    </row>
    <row r="35">
      <c r="B35" t="inlineStr">
        <is>
          <t>Use/Collateral:</t>
        </is>
      </c>
      <c r="C35" s="2" t="inlineStr">
        <is>
          <t>Equipment (Trailers)</t>
        </is>
      </c>
    </row>
    <row r="37">
      <c r="B37" s="23" t="inlineStr">
        <is>
          <t>Month #</t>
        </is>
      </c>
      <c r="C37" s="23" t="inlineStr">
        <is>
          <t>Date</t>
        </is>
      </c>
      <c r="D37" s="23" t="inlineStr">
        <is>
          <t>Opening Balance</t>
        </is>
      </c>
      <c r="E37" s="23" t="inlineStr">
        <is>
          <t>Interest</t>
        </is>
      </c>
      <c r="F37" s="23" t="inlineStr">
        <is>
          <t>Principal</t>
        </is>
      </c>
      <c r="G37" s="23" t="inlineStr">
        <is>
          <t>Closing Balance</t>
        </is>
      </c>
    </row>
    <row r="38">
      <c r="B38" s="34" t="n">
        <v>1</v>
      </c>
      <c r="C38" s="34" t="inlineStr">
        <is>
          <t>2025-12-01</t>
        </is>
      </c>
      <c r="D38" s="37" t="n">
        <v>185762</v>
      </c>
      <c r="E38" s="40">
        <f>MAX(0,D38*$C$32/12)</f>
        <v/>
      </c>
      <c r="F38" s="40">
        <f>MAX(0,MIN(D38,$C$33-E38))</f>
        <v/>
      </c>
      <c r="G38" s="40">
        <f>MAX(0,D38-F38)</f>
        <v/>
      </c>
    </row>
    <row r="39">
      <c r="B39" s="34" t="n">
        <v>2</v>
      </c>
      <c r="C39" s="34" t="inlineStr">
        <is>
          <t>2026-01-01</t>
        </is>
      </c>
      <c r="D39" s="40">
        <f>G38</f>
        <v/>
      </c>
      <c r="E39" s="40">
        <f>MAX(0,D39*$C$32/12)</f>
        <v/>
      </c>
      <c r="F39" s="40">
        <f>MAX(0,MIN(D39,$C$33-E39))</f>
        <v/>
      </c>
      <c r="G39" s="40">
        <f>MAX(0,D39-F39)</f>
        <v/>
      </c>
    </row>
    <row r="40">
      <c r="B40" s="34" t="n">
        <v>3</v>
      </c>
      <c r="C40" s="34" t="inlineStr">
        <is>
          <t>2026-02-01</t>
        </is>
      </c>
      <c r="D40" s="40">
        <f>G39</f>
        <v/>
      </c>
      <c r="E40" s="40">
        <f>MAX(0,D40*$C$32/12)</f>
        <v/>
      </c>
      <c r="F40" s="40">
        <f>MAX(0,MIN(D40,$C$33-E40))</f>
        <v/>
      </c>
      <c r="G40" s="40">
        <f>MAX(0,D40-F40)</f>
        <v/>
      </c>
    </row>
    <row r="41">
      <c r="B41" s="34" t="n">
        <v>4</v>
      </c>
      <c r="C41" s="34" t="inlineStr">
        <is>
          <t>2026-03-01</t>
        </is>
      </c>
      <c r="D41" s="40">
        <f>G40</f>
        <v/>
      </c>
      <c r="E41" s="40">
        <f>MAX(0,D41*$C$32/12)</f>
        <v/>
      </c>
      <c r="F41" s="40">
        <f>MAX(0,MIN(D41,$C$33-E41))</f>
        <v/>
      </c>
      <c r="G41" s="40">
        <f>MAX(0,D41-F41)</f>
        <v/>
      </c>
    </row>
    <row r="42">
      <c r="B42" s="34" t="n">
        <v>5</v>
      </c>
      <c r="C42" s="34" t="inlineStr">
        <is>
          <t>2026-04-01</t>
        </is>
      </c>
      <c r="D42" s="40">
        <f>G41</f>
        <v/>
      </c>
      <c r="E42" s="40">
        <f>MAX(0,D42*$C$32/12)</f>
        <v/>
      </c>
      <c r="F42" s="40">
        <f>MAX(0,MIN(D42,$C$33-E42))</f>
        <v/>
      </c>
      <c r="G42" s="40">
        <f>MAX(0,D42-F42)</f>
        <v/>
      </c>
    </row>
    <row r="43">
      <c r="B43" s="34" t="n">
        <v>6</v>
      </c>
      <c r="C43" s="34" t="inlineStr">
        <is>
          <t>2026-05-01</t>
        </is>
      </c>
      <c r="D43" s="40">
        <f>G42</f>
        <v/>
      </c>
      <c r="E43" s="40">
        <f>MAX(0,D43*$C$32/12)</f>
        <v/>
      </c>
      <c r="F43" s="40">
        <f>MAX(0,MIN(D43,$C$33-E43))</f>
        <v/>
      </c>
      <c r="G43" s="40">
        <f>MAX(0,D43-F43)</f>
        <v/>
      </c>
    </row>
    <row r="44">
      <c r="B44" s="34" t="n">
        <v>7</v>
      </c>
      <c r="C44" s="34" t="inlineStr">
        <is>
          <t>2026-06-01</t>
        </is>
      </c>
      <c r="D44" s="40">
        <f>G43</f>
        <v/>
      </c>
      <c r="E44" s="40">
        <f>MAX(0,D44*$C$32/12)</f>
        <v/>
      </c>
      <c r="F44" s="40">
        <f>MAX(0,MIN(D44,$C$33-E44))</f>
        <v/>
      </c>
      <c r="G44" s="40">
        <f>MAX(0,D44-F44)</f>
        <v/>
      </c>
    </row>
    <row r="45">
      <c r="B45" s="34" t="n">
        <v>8</v>
      </c>
      <c r="C45" s="34" t="inlineStr">
        <is>
          <t>2026-07-01</t>
        </is>
      </c>
      <c r="D45" s="40">
        <f>G44</f>
        <v/>
      </c>
      <c r="E45" s="40">
        <f>MAX(0,D45*$C$32/12)</f>
        <v/>
      </c>
      <c r="F45" s="40">
        <f>MAX(0,MIN(D45,$C$33-E45))</f>
        <v/>
      </c>
      <c r="G45" s="40">
        <f>MAX(0,D45-F45)</f>
        <v/>
      </c>
    </row>
    <row r="46">
      <c r="B46" s="34" t="n">
        <v>9</v>
      </c>
      <c r="C46" s="34" t="inlineStr">
        <is>
          <t>2026-08-01</t>
        </is>
      </c>
      <c r="D46" s="40">
        <f>G45</f>
        <v/>
      </c>
      <c r="E46" s="40">
        <f>MAX(0,D46*$C$32/12)</f>
        <v/>
      </c>
      <c r="F46" s="40">
        <f>MAX(0,MIN(D46,$C$33-E46))</f>
        <v/>
      </c>
      <c r="G46" s="40">
        <f>MAX(0,D46-F46)</f>
        <v/>
      </c>
    </row>
    <row r="47">
      <c r="B47" s="34" t="n">
        <v>10</v>
      </c>
      <c r="C47" s="34" t="inlineStr">
        <is>
          <t>2026-09-01</t>
        </is>
      </c>
      <c r="D47" s="40">
        <f>G46</f>
        <v/>
      </c>
      <c r="E47" s="40">
        <f>MAX(0,D47*$C$32/12)</f>
        <v/>
      </c>
      <c r="F47" s="40">
        <f>MAX(0,MIN(D47,$C$33-E47))</f>
        <v/>
      </c>
      <c r="G47" s="40">
        <f>MAX(0,D47-F47)</f>
        <v/>
      </c>
    </row>
    <row r="48">
      <c r="B48" s="34" t="n">
        <v>11</v>
      </c>
      <c r="C48" s="34" t="inlineStr">
        <is>
          <t>2026-10-01</t>
        </is>
      </c>
      <c r="D48" s="40">
        <f>G47</f>
        <v/>
      </c>
      <c r="E48" s="40">
        <f>MAX(0,D48*$C$32/12)</f>
        <v/>
      </c>
      <c r="F48" s="40">
        <f>MAX(0,MIN(D48,$C$33-E48))</f>
        <v/>
      </c>
      <c r="G48" s="40">
        <f>MAX(0,D48-F48)</f>
        <v/>
      </c>
    </row>
    <row r="49">
      <c r="B49" s="34" t="n">
        <v>12</v>
      </c>
      <c r="C49" s="34" t="inlineStr">
        <is>
          <t>2026-11-01</t>
        </is>
      </c>
      <c r="D49" s="40">
        <f>G48</f>
        <v/>
      </c>
      <c r="E49" s="40">
        <f>MAX(0,D49*$C$32/12)</f>
        <v/>
      </c>
      <c r="F49" s="40">
        <f>MAX(0,MIN(D49,$C$33-E49))</f>
        <v/>
      </c>
      <c r="G49" s="40">
        <f>MAX(0,D49-F49)</f>
        <v/>
      </c>
    </row>
    <row r="50">
      <c r="B50" s="34" t="n">
        <v>13</v>
      </c>
      <c r="C50" s="34" t="inlineStr">
        <is>
          <t>2026-12-01</t>
        </is>
      </c>
      <c r="D50" s="40">
        <f>G49</f>
        <v/>
      </c>
      <c r="E50" s="40">
        <f>MAX(0,D50*$C$32/12)</f>
        <v/>
      </c>
      <c r="F50" s="40">
        <f>MAX(0,MIN(D50,$C$33-E50))</f>
        <v/>
      </c>
      <c r="G50" s="40">
        <f>MAX(0,D50-F50)</f>
        <v/>
      </c>
    </row>
    <row r="51">
      <c r="B51" s="34" t="n">
        <v>14</v>
      </c>
      <c r="C51" s="34" t="inlineStr">
        <is>
          <t>2027-01-01</t>
        </is>
      </c>
      <c r="D51" s="40">
        <f>G50</f>
        <v/>
      </c>
      <c r="E51" s="40">
        <f>MAX(0,D51*$C$32/12)</f>
        <v/>
      </c>
      <c r="F51" s="40">
        <f>MAX(0,MIN(D51,$C$33-E51))</f>
        <v/>
      </c>
      <c r="G51" s="40">
        <f>MAX(0,D51-F51)</f>
        <v/>
      </c>
    </row>
    <row r="52">
      <c r="B52" s="34" t="n">
        <v>15</v>
      </c>
      <c r="C52" s="34" t="inlineStr">
        <is>
          <t>2027-02-01</t>
        </is>
      </c>
      <c r="D52" s="40">
        <f>G51</f>
        <v/>
      </c>
      <c r="E52" s="40">
        <f>MAX(0,D52*$C$32/12)</f>
        <v/>
      </c>
      <c r="F52" s="40">
        <f>MAX(0,MIN(D52,$C$33-E52))</f>
        <v/>
      </c>
      <c r="G52" s="40">
        <f>MAX(0,D52-F52)</f>
        <v/>
      </c>
    </row>
    <row r="53">
      <c r="B53" s="41" t="inlineStr">
        <is>
          <t>TOTAL</t>
        </is>
      </c>
      <c r="C53" s="34" t="inlineStr"/>
      <c r="D53" s="34" t="inlineStr"/>
      <c r="E53" s="42">
        <f>SUM(E38:E52)</f>
        <v/>
      </c>
      <c r="F53" s="42">
        <f>SUM(F38:F52)</f>
        <v/>
      </c>
      <c r="G53" s="34" t="inlineStr"/>
    </row>
    <row r="56">
      <c r="A56" s="39" t="inlineStr">
        <is>
          <t>LOAN 2: 3 Freightliner Daycabs (Sept 2021)</t>
        </is>
      </c>
      <c r="B56" s="33" t="n"/>
      <c r="C56" s="33" t="n"/>
      <c r="D56" s="33" t="n"/>
      <c r="E56" s="33" t="n"/>
      <c r="F56" s="33" t="n"/>
      <c r="G56" s="33" t="n"/>
      <c r="H56" s="33" t="n"/>
    </row>
    <row r="57">
      <c r="B57" t="inlineStr">
        <is>
          <t>Loan ID:</t>
        </is>
      </c>
      <c r="C57" s="2" t="inlineStr">
        <is>
          <t>05-2939-001-000-00</t>
        </is>
      </c>
    </row>
    <row r="58">
      <c r="B58" t="inlineStr">
        <is>
          <t>Account:</t>
        </is>
      </c>
      <c r="C58" s="2" t="inlineStr">
        <is>
          <t>003</t>
        </is>
      </c>
    </row>
    <row r="59">
      <c r="B59" t="inlineStr">
        <is>
          <t>Origination Date:</t>
        </is>
      </c>
      <c r="C59" s="2" t="inlineStr">
        <is>
          <t>2021-09-14</t>
        </is>
      </c>
    </row>
    <row r="60">
      <c r="B60" t="inlineStr">
        <is>
          <t>Maturity Date:</t>
        </is>
      </c>
      <c r="C60" s="2" t="inlineStr">
        <is>
          <t>2027-06-21</t>
        </is>
      </c>
    </row>
    <row r="61">
      <c r="B61" t="inlineStr">
        <is>
          <t>Original Balance:</t>
        </is>
      </c>
      <c r="C61" s="3" t="n">
        <v>386346.5</v>
      </c>
    </row>
    <row r="62">
      <c r="B62" t="inlineStr">
        <is>
          <t>Remaining Balance (Nov 2025):</t>
        </is>
      </c>
      <c r="C62" s="3" t="n">
        <v>75255</v>
      </c>
    </row>
    <row r="63">
      <c r="B63" t="inlineStr">
        <is>
          <t>Annual Interest Rate:</t>
        </is>
      </c>
      <c r="C63" s="4" t="n">
        <v>0.0272</v>
      </c>
    </row>
    <row r="64">
      <c r="B64" t="inlineStr">
        <is>
          <t>Monthly Payment:</t>
        </is>
      </c>
      <c r="C64" s="3" t="n">
        <v>4156.5</v>
      </c>
    </row>
    <row r="65">
      <c r="B65" t="inlineStr">
        <is>
          <t>Loan Type:</t>
        </is>
      </c>
      <c r="C65" s="2" t="inlineStr">
        <is>
          <t>AMORTIZING</t>
        </is>
      </c>
    </row>
    <row r="66">
      <c r="B66" t="inlineStr">
        <is>
          <t>Use/Collateral:</t>
        </is>
      </c>
      <c r="C66" s="2" t="inlineStr">
        <is>
          <t>Equipment (Semi trucks)</t>
        </is>
      </c>
    </row>
    <row r="68">
      <c r="B68" s="23" t="inlineStr">
        <is>
          <t>Month #</t>
        </is>
      </c>
      <c r="C68" s="23" t="inlineStr">
        <is>
          <t>Date</t>
        </is>
      </c>
      <c r="D68" s="23" t="inlineStr">
        <is>
          <t>Opening Balance</t>
        </is>
      </c>
      <c r="E68" s="23" t="inlineStr">
        <is>
          <t>Interest</t>
        </is>
      </c>
      <c r="F68" s="23" t="inlineStr">
        <is>
          <t>Principal</t>
        </is>
      </c>
      <c r="G68" s="23" t="inlineStr">
        <is>
          <t>Closing Balance</t>
        </is>
      </c>
    </row>
    <row r="69">
      <c r="B69" s="34" t="n">
        <v>1</v>
      </c>
      <c r="C69" s="34" t="inlineStr">
        <is>
          <t>2025-12-01</t>
        </is>
      </c>
      <c r="D69" s="37" t="n">
        <v>75255</v>
      </c>
      <c r="E69" s="40">
        <f>MAX(0,D69*$C$63/12)</f>
        <v/>
      </c>
      <c r="F69" s="40">
        <f>MAX(0,MIN(D69,$C$64-E69))</f>
        <v/>
      </c>
      <c r="G69" s="40">
        <f>MAX(0,D69-F69)</f>
        <v/>
      </c>
    </row>
    <row r="70">
      <c r="B70" s="34" t="n">
        <v>2</v>
      </c>
      <c r="C70" s="34" t="inlineStr">
        <is>
          <t>2026-01-01</t>
        </is>
      </c>
      <c r="D70" s="40">
        <f>G69</f>
        <v/>
      </c>
      <c r="E70" s="40">
        <f>MAX(0,D70*$C$63/12)</f>
        <v/>
      </c>
      <c r="F70" s="40">
        <f>MAX(0,MIN(D70,$C$64-E70))</f>
        <v/>
      </c>
      <c r="G70" s="40">
        <f>MAX(0,D70-F70)</f>
        <v/>
      </c>
    </row>
    <row r="71">
      <c r="B71" s="34" t="n">
        <v>3</v>
      </c>
      <c r="C71" s="34" t="inlineStr">
        <is>
          <t>2026-02-01</t>
        </is>
      </c>
      <c r="D71" s="40">
        <f>G70</f>
        <v/>
      </c>
      <c r="E71" s="40">
        <f>MAX(0,D71*$C$63/12)</f>
        <v/>
      </c>
      <c r="F71" s="40">
        <f>MAX(0,MIN(D71,$C$64-E71))</f>
        <v/>
      </c>
      <c r="G71" s="40">
        <f>MAX(0,D71-F71)</f>
        <v/>
      </c>
    </row>
    <row r="72">
      <c r="B72" s="34" t="n">
        <v>4</v>
      </c>
      <c r="C72" s="34" t="inlineStr">
        <is>
          <t>2026-03-01</t>
        </is>
      </c>
      <c r="D72" s="40">
        <f>G71</f>
        <v/>
      </c>
      <c r="E72" s="40">
        <f>MAX(0,D72*$C$63/12)</f>
        <v/>
      </c>
      <c r="F72" s="40">
        <f>MAX(0,MIN(D72,$C$64-E72))</f>
        <v/>
      </c>
      <c r="G72" s="40">
        <f>MAX(0,D72-F72)</f>
        <v/>
      </c>
    </row>
    <row r="73">
      <c r="B73" s="34" t="n">
        <v>5</v>
      </c>
      <c r="C73" s="34" t="inlineStr">
        <is>
          <t>2026-04-01</t>
        </is>
      </c>
      <c r="D73" s="40">
        <f>G72</f>
        <v/>
      </c>
      <c r="E73" s="40">
        <f>MAX(0,D73*$C$63/12)</f>
        <v/>
      </c>
      <c r="F73" s="40">
        <f>MAX(0,MIN(D73,$C$64-E73))</f>
        <v/>
      </c>
      <c r="G73" s="40">
        <f>MAX(0,D73-F73)</f>
        <v/>
      </c>
    </row>
    <row r="74">
      <c r="B74" s="34" t="n">
        <v>6</v>
      </c>
      <c r="C74" s="34" t="inlineStr">
        <is>
          <t>2026-05-01</t>
        </is>
      </c>
      <c r="D74" s="40">
        <f>G73</f>
        <v/>
      </c>
      <c r="E74" s="40">
        <f>MAX(0,D74*$C$63/12)</f>
        <v/>
      </c>
      <c r="F74" s="40">
        <f>MAX(0,MIN(D74,$C$64-E74))</f>
        <v/>
      </c>
      <c r="G74" s="40">
        <f>MAX(0,D74-F74)</f>
        <v/>
      </c>
    </row>
    <row r="75">
      <c r="B75" s="34" t="n">
        <v>7</v>
      </c>
      <c r="C75" s="34" t="inlineStr">
        <is>
          <t>2026-06-01</t>
        </is>
      </c>
      <c r="D75" s="40">
        <f>G74</f>
        <v/>
      </c>
      <c r="E75" s="40">
        <f>MAX(0,D75*$C$63/12)</f>
        <v/>
      </c>
      <c r="F75" s="40">
        <f>MAX(0,MIN(D75,$C$64-E75))</f>
        <v/>
      </c>
      <c r="G75" s="40">
        <f>MAX(0,D75-F75)</f>
        <v/>
      </c>
    </row>
    <row r="76">
      <c r="B76" s="34" t="n">
        <v>8</v>
      </c>
      <c r="C76" s="34" t="inlineStr">
        <is>
          <t>2026-07-01</t>
        </is>
      </c>
      <c r="D76" s="40">
        <f>G75</f>
        <v/>
      </c>
      <c r="E76" s="40">
        <f>MAX(0,D76*$C$63/12)</f>
        <v/>
      </c>
      <c r="F76" s="40">
        <f>MAX(0,MIN(D76,$C$64-E76))</f>
        <v/>
      </c>
      <c r="G76" s="40">
        <f>MAX(0,D76-F76)</f>
        <v/>
      </c>
    </row>
    <row r="77">
      <c r="B77" s="34" t="n">
        <v>9</v>
      </c>
      <c r="C77" s="34" t="inlineStr">
        <is>
          <t>2026-08-01</t>
        </is>
      </c>
      <c r="D77" s="40">
        <f>G76</f>
        <v/>
      </c>
      <c r="E77" s="40">
        <f>MAX(0,D77*$C$63/12)</f>
        <v/>
      </c>
      <c r="F77" s="40">
        <f>MAX(0,MIN(D77,$C$64-E77))</f>
        <v/>
      </c>
      <c r="G77" s="40">
        <f>MAX(0,D77-F77)</f>
        <v/>
      </c>
    </row>
    <row r="78">
      <c r="B78" s="34" t="n">
        <v>10</v>
      </c>
      <c r="C78" s="34" t="inlineStr">
        <is>
          <t>2026-09-01</t>
        </is>
      </c>
      <c r="D78" s="40">
        <f>G77</f>
        <v/>
      </c>
      <c r="E78" s="40">
        <f>MAX(0,D78*$C$63/12)</f>
        <v/>
      </c>
      <c r="F78" s="40">
        <f>MAX(0,MIN(D78,$C$64-E78))</f>
        <v/>
      </c>
      <c r="G78" s="40">
        <f>MAX(0,D78-F78)</f>
        <v/>
      </c>
    </row>
    <row r="79">
      <c r="B79" s="34" t="n">
        <v>11</v>
      </c>
      <c r="C79" s="34" t="inlineStr">
        <is>
          <t>2026-10-01</t>
        </is>
      </c>
      <c r="D79" s="40">
        <f>G78</f>
        <v/>
      </c>
      <c r="E79" s="40">
        <f>MAX(0,D79*$C$63/12)</f>
        <v/>
      </c>
      <c r="F79" s="40">
        <f>MAX(0,MIN(D79,$C$64-E79))</f>
        <v/>
      </c>
      <c r="G79" s="40">
        <f>MAX(0,D79-F79)</f>
        <v/>
      </c>
    </row>
    <row r="80">
      <c r="B80" s="34" t="n">
        <v>12</v>
      </c>
      <c r="C80" s="34" t="inlineStr">
        <is>
          <t>2026-11-01</t>
        </is>
      </c>
      <c r="D80" s="40">
        <f>G79</f>
        <v/>
      </c>
      <c r="E80" s="40">
        <f>MAX(0,D80*$C$63/12)</f>
        <v/>
      </c>
      <c r="F80" s="40">
        <f>MAX(0,MIN(D80,$C$64-E80))</f>
        <v/>
      </c>
      <c r="G80" s="40">
        <f>MAX(0,D80-F80)</f>
        <v/>
      </c>
    </row>
    <row r="81">
      <c r="B81" s="34" t="n">
        <v>13</v>
      </c>
      <c r="C81" s="34" t="inlineStr">
        <is>
          <t>2026-12-01</t>
        </is>
      </c>
      <c r="D81" s="40">
        <f>G80</f>
        <v/>
      </c>
      <c r="E81" s="40">
        <f>MAX(0,D81*$C$63/12)</f>
        <v/>
      </c>
      <c r="F81" s="40">
        <f>MAX(0,MIN(D81,$C$64-E81))</f>
        <v/>
      </c>
      <c r="G81" s="40">
        <f>MAX(0,D81-F81)</f>
        <v/>
      </c>
    </row>
    <row r="82">
      <c r="B82" s="34" t="n">
        <v>14</v>
      </c>
      <c r="C82" s="34" t="inlineStr">
        <is>
          <t>2027-01-01</t>
        </is>
      </c>
      <c r="D82" s="40">
        <f>G81</f>
        <v/>
      </c>
      <c r="E82" s="40">
        <f>MAX(0,D82*$C$63/12)</f>
        <v/>
      </c>
      <c r="F82" s="40">
        <f>MAX(0,MIN(D82,$C$64-E82))</f>
        <v/>
      </c>
      <c r="G82" s="40">
        <f>MAX(0,D82-F82)</f>
        <v/>
      </c>
    </row>
    <row r="83">
      <c r="B83" s="34" t="n">
        <v>15</v>
      </c>
      <c r="C83" s="34" t="inlineStr">
        <is>
          <t>2027-02-01</t>
        </is>
      </c>
      <c r="D83" s="40">
        <f>G82</f>
        <v/>
      </c>
      <c r="E83" s="40">
        <f>MAX(0,D83*$C$63/12)</f>
        <v/>
      </c>
      <c r="F83" s="40">
        <f>MAX(0,MIN(D83,$C$64-E83))</f>
        <v/>
      </c>
      <c r="G83" s="40">
        <f>MAX(0,D83-F83)</f>
        <v/>
      </c>
    </row>
    <row r="84">
      <c r="B84" s="34" t="n">
        <v>16</v>
      </c>
      <c r="C84" s="34" t="inlineStr">
        <is>
          <t>2027-03-01</t>
        </is>
      </c>
      <c r="D84" s="40">
        <f>G83</f>
        <v/>
      </c>
      <c r="E84" s="40">
        <f>MAX(0,D84*$C$63/12)</f>
        <v/>
      </c>
      <c r="F84" s="40">
        <f>MAX(0,MIN(D84,$C$64-E84))</f>
        <v/>
      </c>
      <c r="G84" s="40">
        <f>MAX(0,D84-F84)</f>
        <v/>
      </c>
    </row>
    <row r="85">
      <c r="B85" s="34" t="n">
        <v>17</v>
      </c>
      <c r="C85" s="34" t="inlineStr">
        <is>
          <t>2027-04-01</t>
        </is>
      </c>
      <c r="D85" s="40">
        <f>G84</f>
        <v/>
      </c>
      <c r="E85" s="40">
        <f>MAX(0,D85*$C$63/12)</f>
        <v/>
      </c>
      <c r="F85" s="40">
        <f>MAX(0,MIN(D85,$C$64-E85))</f>
        <v/>
      </c>
      <c r="G85" s="40">
        <f>MAX(0,D85-F85)</f>
        <v/>
      </c>
    </row>
    <row r="86">
      <c r="B86" s="34" t="n">
        <v>18</v>
      </c>
      <c r="C86" s="34" t="inlineStr">
        <is>
          <t>2027-05-01</t>
        </is>
      </c>
      <c r="D86" s="40">
        <f>G85</f>
        <v/>
      </c>
      <c r="E86" s="40">
        <f>MAX(0,D86*$C$63/12)</f>
        <v/>
      </c>
      <c r="F86" s="40">
        <f>MAX(0,MIN(D86,$C$64-E86))</f>
        <v/>
      </c>
      <c r="G86" s="40">
        <f>MAX(0,D86-F86)</f>
        <v/>
      </c>
    </row>
    <row r="87">
      <c r="B87" s="34" t="n">
        <v>19</v>
      </c>
      <c r="C87" s="34" t="inlineStr">
        <is>
          <t>2027-06-01</t>
        </is>
      </c>
      <c r="D87" s="40">
        <f>G86</f>
        <v/>
      </c>
      <c r="E87" s="40">
        <f>MAX(0,D87*$C$63/12)</f>
        <v/>
      </c>
      <c r="F87" s="40">
        <f>MAX(0,MIN(D87,$C$64-E87))</f>
        <v/>
      </c>
      <c r="G87" s="40">
        <f>MAX(0,D87-F87)</f>
        <v/>
      </c>
    </row>
    <row r="88">
      <c r="B88" s="41" t="inlineStr">
        <is>
          <t>TOTAL</t>
        </is>
      </c>
      <c r="C88" s="34" t="inlineStr"/>
      <c r="D88" s="34" t="inlineStr"/>
      <c r="E88" s="42">
        <f>SUM(E69:E87)</f>
        <v/>
      </c>
      <c r="F88" s="42">
        <f>SUM(F69:F87)</f>
        <v/>
      </c>
      <c r="G88" s="34" t="inlineStr"/>
    </row>
    <row r="91">
      <c r="A91" s="39" t="inlineStr">
        <is>
          <t>LOAN 3: 25 Trailers (Oct 2021)</t>
        </is>
      </c>
      <c r="B91" s="33" t="n"/>
      <c r="C91" s="33" t="n"/>
      <c r="D91" s="33" t="n"/>
      <c r="E91" s="33" t="n"/>
      <c r="F91" s="33" t="n"/>
      <c r="G91" s="33" t="n"/>
      <c r="H91" s="33" t="n"/>
    </row>
    <row r="92">
      <c r="B92" t="inlineStr">
        <is>
          <t>Loan ID:</t>
        </is>
      </c>
      <c r="C92" s="2" t="inlineStr">
        <is>
          <t>05-2939-002-000-00</t>
        </is>
      </c>
    </row>
    <row r="93">
      <c r="B93" t="inlineStr">
        <is>
          <t>Account:</t>
        </is>
      </c>
      <c r="C93" s="2" t="inlineStr">
        <is>
          <t>004</t>
        </is>
      </c>
    </row>
    <row r="94">
      <c r="B94" t="inlineStr">
        <is>
          <t>Origination Date:</t>
        </is>
      </c>
      <c r="C94" s="2" t="inlineStr">
        <is>
          <t>2021-11-08</t>
        </is>
      </c>
    </row>
    <row r="95">
      <c r="B95" t="inlineStr">
        <is>
          <t>Maturity Date:</t>
        </is>
      </c>
      <c r="C95" s="2" t="inlineStr">
        <is>
          <t>2029-02-08</t>
        </is>
      </c>
    </row>
    <row r="96">
      <c r="B96" t="inlineStr">
        <is>
          <t>Original Balance:</t>
        </is>
      </c>
      <c r="C96" s="3" t="n">
        <v>1166450</v>
      </c>
    </row>
    <row r="97">
      <c r="B97" t="inlineStr">
        <is>
          <t>Remaining Balance (Nov 2025):</t>
        </is>
      </c>
      <c r="C97" s="3" t="n">
        <v>576156</v>
      </c>
    </row>
    <row r="98">
      <c r="B98" t="inlineStr">
        <is>
          <t>Annual Interest Rate:</t>
        </is>
      </c>
      <c r="C98" s="4" t="n">
        <v>0.0298</v>
      </c>
    </row>
    <row r="99">
      <c r="B99" t="inlineStr">
        <is>
          <t>Monthly Payment:</t>
        </is>
      </c>
      <c r="C99" s="3" t="n">
        <v>15519.44</v>
      </c>
    </row>
    <row r="100">
      <c r="B100" t="inlineStr">
        <is>
          <t>Loan Type:</t>
        </is>
      </c>
      <c r="C100" s="2" t="inlineStr">
        <is>
          <t>AMORTIZING</t>
        </is>
      </c>
    </row>
    <row r="101">
      <c r="B101" t="inlineStr">
        <is>
          <t>Use/Collateral:</t>
        </is>
      </c>
      <c r="C101" s="2" t="inlineStr">
        <is>
          <t>Equipment (Trailers)</t>
        </is>
      </c>
    </row>
    <row r="103">
      <c r="B103" s="23" t="inlineStr">
        <is>
          <t>Month #</t>
        </is>
      </c>
      <c r="C103" s="23" t="inlineStr">
        <is>
          <t>Date</t>
        </is>
      </c>
      <c r="D103" s="23" t="inlineStr">
        <is>
          <t>Opening Balance</t>
        </is>
      </c>
      <c r="E103" s="23" t="inlineStr">
        <is>
          <t>Interest</t>
        </is>
      </c>
      <c r="F103" s="23" t="inlineStr">
        <is>
          <t>Principal</t>
        </is>
      </c>
      <c r="G103" s="23" t="inlineStr">
        <is>
          <t>Closing Balance</t>
        </is>
      </c>
    </row>
    <row r="104">
      <c r="B104" s="34" t="n">
        <v>1</v>
      </c>
      <c r="C104" s="34" t="inlineStr">
        <is>
          <t>2025-12-01</t>
        </is>
      </c>
      <c r="D104" s="37" t="n">
        <v>576156</v>
      </c>
      <c r="E104" s="40">
        <f>MAX(0,D104*$C$98/12)</f>
        <v/>
      </c>
      <c r="F104" s="40">
        <f>MAX(0,MIN(D104,$C$99-E104))</f>
        <v/>
      </c>
      <c r="G104" s="40">
        <f>MAX(0,D104-F104)</f>
        <v/>
      </c>
    </row>
    <row r="105">
      <c r="B105" s="34" t="n">
        <v>2</v>
      </c>
      <c r="C105" s="34" t="inlineStr">
        <is>
          <t>2026-01-01</t>
        </is>
      </c>
      <c r="D105" s="40">
        <f>G104</f>
        <v/>
      </c>
      <c r="E105" s="40">
        <f>MAX(0,D105*$C$98/12)</f>
        <v/>
      </c>
      <c r="F105" s="40">
        <f>MAX(0,MIN(D105,$C$99-E105))</f>
        <v/>
      </c>
      <c r="G105" s="40">
        <f>MAX(0,D105-F105)</f>
        <v/>
      </c>
    </row>
    <row r="106">
      <c r="B106" s="34" t="n">
        <v>3</v>
      </c>
      <c r="C106" s="34" t="inlineStr">
        <is>
          <t>2026-02-01</t>
        </is>
      </c>
      <c r="D106" s="40">
        <f>G105</f>
        <v/>
      </c>
      <c r="E106" s="40">
        <f>MAX(0,D106*$C$98/12)</f>
        <v/>
      </c>
      <c r="F106" s="40">
        <f>MAX(0,MIN(D106,$C$99-E106))</f>
        <v/>
      </c>
      <c r="G106" s="40">
        <f>MAX(0,D106-F106)</f>
        <v/>
      </c>
    </row>
    <row r="107">
      <c r="B107" s="34" t="n">
        <v>4</v>
      </c>
      <c r="C107" s="34" t="inlineStr">
        <is>
          <t>2026-03-01</t>
        </is>
      </c>
      <c r="D107" s="40">
        <f>G106</f>
        <v/>
      </c>
      <c r="E107" s="40">
        <f>MAX(0,D107*$C$98/12)</f>
        <v/>
      </c>
      <c r="F107" s="40">
        <f>MAX(0,MIN(D107,$C$99-E107))</f>
        <v/>
      </c>
      <c r="G107" s="40">
        <f>MAX(0,D107-F107)</f>
        <v/>
      </c>
    </row>
    <row r="108">
      <c r="B108" s="34" t="n">
        <v>5</v>
      </c>
      <c r="C108" s="34" t="inlineStr">
        <is>
          <t>2026-04-01</t>
        </is>
      </c>
      <c r="D108" s="40">
        <f>G107</f>
        <v/>
      </c>
      <c r="E108" s="40">
        <f>MAX(0,D108*$C$98/12)</f>
        <v/>
      </c>
      <c r="F108" s="40">
        <f>MAX(0,MIN(D108,$C$99-E108))</f>
        <v/>
      </c>
      <c r="G108" s="40">
        <f>MAX(0,D108-F108)</f>
        <v/>
      </c>
    </row>
    <row r="109">
      <c r="B109" s="34" t="n">
        <v>6</v>
      </c>
      <c r="C109" s="34" t="inlineStr">
        <is>
          <t>2026-05-01</t>
        </is>
      </c>
      <c r="D109" s="40">
        <f>G108</f>
        <v/>
      </c>
      <c r="E109" s="40">
        <f>MAX(0,D109*$C$98/12)</f>
        <v/>
      </c>
      <c r="F109" s="40">
        <f>MAX(0,MIN(D109,$C$99-E109))</f>
        <v/>
      </c>
      <c r="G109" s="40">
        <f>MAX(0,D109-F109)</f>
        <v/>
      </c>
    </row>
    <row r="110">
      <c r="B110" s="34" t="n">
        <v>7</v>
      </c>
      <c r="C110" s="34" t="inlineStr">
        <is>
          <t>2026-06-01</t>
        </is>
      </c>
      <c r="D110" s="40">
        <f>G109</f>
        <v/>
      </c>
      <c r="E110" s="40">
        <f>MAX(0,D110*$C$98/12)</f>
        <v/>
      </c>
      <c r="F110" s="40">
        <f>MAX(0,MIN(D110,$C$99-E110))</f>
        <v/>
      </c>
      <c r="G110" s="40">
        <f>MAX(0,D110-F110)</f>
        <v/>
      </c>
    </row>
    <row r="111">
      <c r="B111" s="34" t="n">
        <v>8</v>
      </c>
      <c r="C111" s="34" t="inlineStr">
        <is>
          <t>2026-07-01</t>
        </is>
      </c>
      <c r="D111" s="40">
        <f>G110</f>
        <v/>
      </c>
      <c r="E111" s="40">
        <f>MAX(0,D111*$C$98/12)</f>
        <v/>
      </c>
      <c r="F111" s="40">
        <f>MAX(0,MIN(D111,$C$99-E111))</f>
        <v/>
      </c>
      <c r="G111" s="40">
        <f>MAX(0,D111-F111)</f>
        <v/>
      </c>
    </row>
    <row r="112">
      <c r="B112" s="34" t="n">
        <v>9</v>
      </c>
      <c r="C112" s="34" t="inlineStr">
        <is>
          <t>2026-08-01</t>
        </is>
      </c>
      <c r="D112" s="40">
        <f>G111</f>
        <v/>
      </c>
      <c r="E112" s="40">
        <f>MAX(0,D112*$C$98/12)</f>
        <v/>
      </c>
      <c r="F112" s="40">
        <f>MAX(0,MIN(D112,$C$99-E112))</f>
        <v/>
      </c>
      <c r="G112" s="40">
        <f>MAX(0,D112-F112)</f>
        <v/>
      </c>
    </row>
    <row r="113">
      <c r="B113" s="34" t="n">
        <v>10</v>
      </c>
      <c r="C113" s="34" t="inlineStr">
        <is>
          <t>2026-09-01</t>
        </is>
      </c>
      <c r="D113" s="40">
        <f>G112</f>
        <v/>
      </c>
      <c r="E113" s="40">
        <f>MAX(0,D113*$C$98/12)</f>
        <v/>
      </c>
      <c r="F113" s="40">
        <f>MAX(0,MIN(D113,$C$99-E113))</f>
        <v/>
      </c>
      <c r="G113" s="40">
        <f>MAX(0,D113-F113)</f>
        <v/>
      </c>
    </row>
    <row r="114">
      <c r="B114" s="34" t="n">
        <v>11</v>
      </c>
      <c r="C114" s="34" t="inlineStr">
        <is>
          <t>2026-10-01</t>
        </is>
      </c>
      <c r="D114" s="40">
        <f>G113</f>
        <v/>
      </c>
      <c r="E114" s="40">
        <f>MAX(0,D114*$C$98/12)</f>
        <v/>
      </c>
      <c r="F114" s="40">
        <f>MAX(0,MIN(D114,$C$99-E114))</f>
        <v/>
      </c>
      <c r="G114" s="40">
        <f>MAX(0,D114-F114)</f>
        <v/>
      </c>
    </row>
    <row r="115">
      <c r="B115" s="34" t="n">
        <v>12</v>
      </c>
      <c r="C115" s="34" t="inlineStr">
        <is>
          <t>2026-11-01</t>
        </is>
      </c>
      <c r="D115" s="40">
        <f>G114</f>
        <v/>
      </c>
      <c r="E115" s="40">
        <f>MAX(0,D115*$C$98/12)</f>
        <v/>
      </c>
      <c r="F115" s="40">
        <f>MAX(0,MIN(D115,$C$99-E115))</f>
        <v/>
      </c>
      <c r="G115" s="40">
        <f>MAX(0,D115-F115)</f>
        <v/>
      </c>
    </row>
    <row r="116">
      <c r="B116" s="34" t="n">
        <v>13</v>
      </c>
      <c r="C116" s="34" t="inlineStr">
        <is>
          <t>2026-12-01</t>
        </is>
      </c>
      <c r="D116" s="40">
        <f>G115</f>
        <v/>
      </c>
      <c r="E116" s="40">
        <f>MAX(0,D116*$C$98/12)</f>
        <v/>
      </c>
      <c r="F116" s="40">
        <f>MAX(0,MIN(D116,$C$99-E116))</f>
        <v/>
      </c>
      <c r="G116" s="40">
        <f>MAX(0,D116-F116)</f>
        <v/>
      </c>
    </row>
    <row r="117">
      <c r="B117" s="34" t="n">
        <v>14</v>
      </c>
      <c r="C117" s="34" t="inlineStr">
        <is>
          <t>2027-01-01</t>
        </is>
      </c>
      <c r="D117" s="40">
        <f>G116</f>
        <v/>
      </c>
      <c r="E117" s="40">
        <f>MAX(0,D117*$C$98/12)</f>
        <v/>
      </c>
      <c r="F117" s="40">
        <f>MAX(0,MIN(D117,$C$99-E117))</f>
        <v/>
      </c>
      <c r="G117" s="40">
        <f>MAX(0,D117-F117)</f>
        <v/>
      </c>
    </row>
    <row r="118">
      <c r="B118" s="34" t="n">
        <v>15</v>
      </c>
      <c r="C118" s="34" t="inlineStr">
        <is>
          <t>2027-02-01</t>
        </is>
      </c>
      <c r="D118" s="40">
        <f>G117</f>
        <v/>
      </c>
      <c r="E118" s="40">
        <f>MAX(0,D118*$C$98/12)</f>
        <v/>
      </c>
      <c r="F118" s="40">
        <f>MAX(0,MIN(D118,$C$99-E118))</f>
        <v/>
      </c>
      <c r="G118" s="40">
        <f>MAX(0,D118-F118)</f>
        <v/>
      </c>
    </row>
    <row r="119">
      <c r="B119" s="34" t="n">
        <v>16</v>
      </c>
      <c r="C119" s="34" t="inlineStr">
        <is>
          <t>2027-03-01</t>
        </is>
      </c>
      <c r="D119" s="40">
        <f>G118</f>
        <v/>
      </c>
      <c r="E119" s="40">
        <f>MAX(0,D119*$C$98/12)</f>
        <v/>
      </c>
      <c r="F119" s="40">
        <f>MAX(0,MIN(D119,$C$99-E119))</f>
        <v/>
      </c>
      <c r="G119" s="40">
        <f>MAX(0,D119-F119)</f>
        <v/>
      </c>
    </row>
    <row r="120">
      <c r="B120" s="34" t="n">
        <v>17</v>
      </c>
      <c r="C120" s="34" t="inlineStr">
        <is>
          <t>2027-04-01</t>
        </is>
      </c>
      <c r="D120" s="40">
        <f>G119</f>
        <v/>
      </c>
      <c r="E120" s="40">
        <f>MAX(0,D120*$C$98/12)</f>
        <v/>
      </c>
      <c r="F120" s="40">
        <f>MAX(0,MIN(D120,$C$99-E120))</f>
        <v/>
      </c>
      <c r="G120" s="40">
        <f>MAX(0,D120-F120)</f>
        <v/>
      </c>
    </row>
    <row r="121">
      <c r="B121" s="34" t="n">
        <v>18</v>
      </c>
      <c r="C121" s="34" t="inlineStr">
        <is>
          <t>2027-05-01</t>
        </is>
      </c>
      <c r="D121" s="40">
        <f>G120</f>
        <v/>
      </c>
      <c r="E121" s="40">
        <f>MAX(0,D121*$C$98/12)</f>
        <v/>
      </c>
      <c r="F121" s="40">
        <f>MAX(0,MIN(D121,$C$99-E121))</f>
        <v/>
      </c>
      <c r="G121" s="40">
        <f>MAX(0,D121-F121)</f>
        <v/>
      </c>
    </row>
    <row r="122">
      <c r="B122" s="34" t="n">
        <v>19</v>
      </c>
      <c r="C122" s="34" t="inlineStr">
        <is>
          <t>2027-06-01</t>
        </is>
      </c>
      <c r="D122" s="40">
        <f>G121</f>
        <v/>
      </c>
      <c r="E122" s="40">
        <f>MAX(0,D122*$C$98/12)</f>
        <v/>
      </c>
      <c r="F122" s="40">
        <f>MAX(0,MIN(D122,$C$99-E122))</f>
        <v/>
      </c>
      <c r="G122" s="40">
        <f>MAX(0,D122-F122)</f>
        <v/>
      </c>
    </row>
    <row r="123">
      <c r="B123" s="34" t="n">
        <v>20</v>
      </c>
      <c r="C123" s="34" t="inlineStr">
        <is>
          <t>2027-07-01</t>
        </is>
      </c>
      <c r="D123" s="40">
        <f>G122</f>
        <v/>
      </c>
      <c r="E123" s="40">
        <f>MAX(0,D123*$C$98/12)</f>
        <v/>
      </c>
      <c r="F123" s="40">
        <f>MAX(0,MIN(D123,$C$99-E123))</f>
        <v/>
      </c>
      <c r="G123" s="40">
        <f>MAX(0,D123-F123)</f>
        <v/>
      </c>
    </row>
    <row r="124">
      <c r="B124" s="34" t="n">
        <v>21</v>
      </c>
      <c r="C124" s="34" t="inlineStr">
        <is>
          <t>2027-08-01</t>
        </is>
      </c>
      <c r="D124" s="40">
        <f>G123</f>
        <v/>
      </c>
      <c r="E124" s="40">
        <f>MAX(0,D124*$C$98/12)</f>
        <v/>
      </c>
      <c r="F124" s="40">
        <f>MAX(0,MIN(D124,$C$99-E124))</f>
        <v/>
      </c>
      <c r="G124" s="40">
        <f>MAX(0,D124-F124)</f>
        <v/>
      </c>
    </row>
    <row r="125">
      <c r="B125" s="34" t="n">
        <v>22</v>
      </c>
      <c r="C125" s="34" t="inlineStr">
        <is>
          <t>2027-09-01</t>
        </is>
      </c>
      <c r="D125" s="40">
        <f>G124</f>
        <v/>
      </c>
      <c r="E125" s="40">
        <f>MAX(0,D125*$C$98/12)</f>
        <v/>
      </c>
      <c r="F125" s="40">
        <f>MAX(0,MIN(D125,$C$99-E125))</f>
        <v/>
      </c>
      <c r="G125" s="40">
        <f>MAX(0,D125-F125)</f>
        <v/>
      </c>
    </row>
    <row r="126">
      <c r="B126" s="34" t="n">
        <v>23</v>
      </c>
      <c r="C126" s="34" t="inlineStr">
        <is>
          <t>2027-10-01</t>
        </is>
      </c>
      <c r="D126" s="40">
        <f>G125</f>
        <v/>
      </c>
      <c r="E126" s="40">
        <f>MAX(0,D126*$C$98/12)</f>
        <v/>
      </c>
      <c r="F126" s="40">
        <f>MAX(0,MIN(D126,$C$99-E126))</f>
        <v/>
      </c>
      <c r="G126" s="40">
        <f>MAX(0,D126-F126)</f>
        <v/>
      </c>
    </row>
    <row r="127">
      <c r="B127" s="34" t="n">
        <v>24</v>
      </c>
      <c r="C127" s="34" t="inlineStr">
        <is>
          <t>2027-11-01</t>
        </is>
      </c>
      <c r="D127" s="40">
        <f>G126</f>
        <v/>
      </c>
      <c r="E127" s="40">
        <f>MAX(0,D127*$C$98/12)</f>
        <v/>
      </c>
      <c r="F127" s="40">
        <f>MAX(0,MIN(D127,$C$99-E127))</f>
        <v/>
      </c>
      <c r="G127" s="40">
        <f>MAX(0,D127-F127)</f>
        <v/>
      </c>
    </row>
    <row r="128">
      <c r="B128" s="34" t="n">
        <v>25</v>
      </c>
      <c r="C128" s="34" t="inlineStr">
        <is>
          <t>2027-12-01</t>
        </is>
      </c>
      <c r="D128" s="40">
        <f>G127</f>
        <v/>
      </c>
      <c r="E128" s="40">
        <f>MAX(0,D128*$C$98/12)</f>
        <v/>
      </c>
      <c r="F128" s="40">
        <f>MAX(0,MIN(D128,$C$99-E128))</f>
        <v/>
      </c>
      <c r="G128" s="40">
        <f>MAX(0,D128-F128)</f>
        <v/>
      </c>
    </row>
    <row r="129">
      <c r="B129" s="34" t="n">
        <v>26</v>
      </c>
      <c r="C129" s="34" t="inlineStr">
        <is>
          <t>2028-01-01</t>
        </is>
      </c>
      <c r="D129" s="40">
        <f>G128</f>
        <v/>
      </c>
      <c r="E129" s="40">
        <f>MAX(0,D129*$C$98/12)</f>
        <v/>
      </c>
      <c r="F129" s="40">
        <f>MAX(0,MIN(D129,$C$99-E129))</f>
        <v/>
      </c>
      <c r="G129" s="40">
        <f>MAX(0,D129-F129)</f>
        <v/>
      </c>
    </row>
    <row r="130">
      <c r="B130" s="34" t="n">
        <v>27</v>
      </c>
      <c r="C130" s="34" t="inlineStr">
        <is>
          <t>2028-02-01</t>
        </is>
      </c>
      <c r="D130" s="40">
        <f>G129</f>
        <v/>
      </c>
      <c r="E130" s="40">
        <f>MAX(0,D130*$C$98/12)</f>
        <v/>
      </c>
      <c r="F130" s="40">
        <f>MAX(0,MIN(D130,$C$99-E130))</f>
        <v/>
      </c>
      <c r="G130" s="40">
        <f>MAX(0,D130-F130)</f>
        <v/>
      </c>
    </row>
    <row r="131">
      <c r="B131" s="34" t="n">
        <v>28</v>
      </c>
      <c r="C131" s="34" t="inlineStr">
        <is>
          <t>2028-03-01</t>
        </is>
      </c>
      <c r="D131" s="40">
        <f>G130</f>
        <v/>
      </c>
      <c r="E131" s="40">
        <f>MAX(0,D131*$C$98/12)</f>
        <v/>
      </c>
      <c r="F131" s="40">
        <f>MAX(0,MIN(D131,$C$99-E131))</f>
        <v/>
      </c>
      <c r="G131" s="40">
        <f>MAX(0,D131-F131)</f>
        <v/>
      </c>
    </row>
    <row r="132">
      <c r="B132" s="34" t="n">
        <v>29</v>
      </c>
      <c r="C132" s="34" t="inlineStr">
        <is>
          <t>2028-04-01</t>
        </is>
      </c>
      <c r="D132" s="40">
        <f>G131</f>
        <v/>
      </c>
      <c r="E132" s="40">
        <f>MAX(0,D132*$C$98/12)</f>
        <v/>
      </c>
      <c r="F132" s="40">
        <f>MAX(0,MIN(D132,$C$99-E132))</f>
        <v/>
      </c>
      <c r="G132" s="40">
        <f>MAX(0,D132-F132)</f>
        <v/>
      </c>
    </row>
    <row r="133">
      <c r="B133" s="34" t="n">
        <v>30</v>
      </c>
      <c r="C133" s="34" t="inlineStr">
        <is>
          <t>2028-05-01</t>
        </is>
      </c>
      <c r="D133" s="40">
        <f>G132</f>
        <v/>
      </c>
      <c r="E133" s="40">
        <f>MAX(0,D133*$C$98/12)</f>
        <v/>
      </c>
      <c r="F133" s="40">
        <f>MAX(0,MIN(D133,$C$99-E133))</f>
        <v/>
      </c>
      <c r="G133" s="40">
        <f>MAX(0,D133-F133)</f>
        <v/>
      </c>
    </row>
    <row r="134">
      <c r="B134" s="34" t="n">
        <v>31</v>
      </c>
      <c r="C134" s="34" t="inlineStr">
        <is>
          <t>2028-06-01</t>
        </is>
      </c>
      <c r="D134" s="40">
        <f>G133</f>
        <v/>
      </c>
      <c r="E134" s="40">
        <f>MAX(0,D134*$C$98/12)</f>
        <v/>
      </c>
      <c r="F134" s="40">
        <f>MAX(0,MIN(D134,$C$99-E134))</f>
        <v/>
      </c>
      <c r="G134" s="40">
        <f>MAX(0,D134-F134)</f>
        <v/>
      </c>
    </row>
    <row r="135">
      <c r="B135" s="34" t="n">
        <v>32</v>
      </c>
      <c r="C135" s="34" t="inlineStr">
        <is>
          <t>2028-07-01</t>
        </is>
      </c>
      <c r="D135" s="40">
        <f>G134</f>
        <v/>
      </c>
      <c r="E135" s="40">
        <f>MAX(0,D135*$C$98/12)</f>
        <v/>
      </c>
      <c r="F135" s="40">
        <f>MAX(0,MIN(D135,$C$99-E135))</f>
        <v/>
      </c>
      <c r="G135" s="40">
        <f>MAX(0,D135-F135)</f>
        <v/>
      </c>
    </row>
    <row r="136">
      <c r="B136" s="34" t="n">
        <v>33</v>
      </c>
      <c r="C136" s="34" t="inlineStr">
        <is>
          <t>2028-08-01</t>
        </is>
      </c>
      <c r="D136" s="40">
        <f>G135</f>
        <v/>
      </c>
      <c r="E136" s="40">
        <f>MAX(0,D136*$C$98/12)</f>
        <v/>
      </c>
      <c r="F136" s="40">
        <f>MAX(0,MIN(D136,$C$99-E136))</f>
        <v/>
      </c>
      <c r="G136" s="40">
        <f>MAX(0,D136-F136)</f>
        <v/>
      </c>
    </row>
    <row r="137">
      <c r="B137" s="34" t="n">
        <v>34</v>
      </c>
      <c r="C137" s="34" t="inlineStr">
        <is>
          <t>2028-09-01</t>
        </is>
      </c>
      <c r="D137" s="40">
        <f>G136</f>
        <v/>
      </c>
      <c r="E137" s="40">
        <f>MAX(0,D137*$C$98/12)</f>
        <v/>
      </c>
      <c r="F137" s="40">
        <f>MAX(0,MIN(D137,$C$99-E137))</f>
        <v/>
      </c>
      <c r="G137" s="40">
        <f>MAX(0,D137-F137)</f>
        <v/>
      </c>
    </row>
    <row r="138">
      <c r="B138" s="34" t="n">
        <v>35</v>
      </c>
      <c r="C138" s="34" t="inlineStr">
        <is>
          <t>2028-10-01</t>
        </is>
      </c>
      <c r="D138" s="40">
        <f>G137</f>
        <v/>
      </c>
      <c r="E138" s="40">
        <f>MAX(0,D138*$C$98/12)</f>
        <v/>
      </c>
      <c r="F138" s="40">
        <f>MAX(0,MIN(D138,$C$99-E138))</f>
        <v/>
      </c>
      <c r="G138" s="40">
        <f>MAX(0,D138-F138)</f>
        <v/>
      </c>
    </row>
    <row r="139">
      <c r="B139" s="34" t="n">
        <v>36</v>
      </c>
      <c r="C139" s="34" t="inlineStr">
        <is>
          <t>2028-11-01</t>
        </is>
      </c>
      <c r="D139" s="40">
        <f>G138</f>
        <v/>
      </c>
      <c r="E139" s="40">
        <f>MAX(0,D139*$C$98/12)</f>
        <v/>
      </c>
      <c r="F139" s="40">
        <f>MAX(0,MIN(D139,$C$99-E139))</f>
        <v/>
      </c>
      <c r="G139" s="40">
        <f>MAX(0,D139-F139)</f>
        <v/>
      </c>
    </row>
    <row r="140">
      <c r="B140" s="34" t="n">
        <v>37</v>
      </c>
      <c r="C140" s="34" t="inlineStr">
        <is>
          <t>2028-12-01</t>
        </is>
      </c>
      <c r="D140" s="40">
        <f>G139</f>
        <v/>
      </c>
      <c r="E140" s="40">
        <f>MAX(0,D140*$C$98/12)</f>
        <v/>
      </c>
      <c r="F140" s="40">
        <f>MAX(0,MIN(D140,$C$99-E140))</f>
        <v/>
      </c>
      <c r="G140" s="40">
        <f>MAX(0,D140-F140)</f>
        <v/>
      </c>
    </row>
    <row r="141">
      <c r="B141" s="34" t="n">
        <v>38</v>
      </c>
      <c r="C141" s="34" t="inlineStr">
        <is>
          <t>2029-01-01</t>
        </is>
      </c>
      <c r="D141" s="40">
        <f>G140</f>
        <v/>
      </c>
      <c r="E141" s="40">
        <f>MAX(0,D141*$C$98/12)</f>
        <v/>
      </c>
      <c r="F141" s="40">
        <f>MAX(0,MIN(D141,$C$99-E141))</f>
        <v/>
      </c>
      <c r="G141" s="40">
        <f>MAX(0,D141-F141)</f>
        <v/>
      </c>
    </row>
    <row r="142">
      <c r="B142" s="34" t="n">
        <v>39</v>
      </c>
      <c r="C142" s="34" t="inlineStr">
        <is>
          <t>2029-02-01</t>
        </is>
      </c>
      <c r="D142" s="40">
        <f>G141</f>
        <v/>
      </c>
      <c r="E142" s="40">
        <f>MAX(0,D142*$C$98/12)</f>
        <v/>
      </c>
      <c r="F142" s="40">
        <f>MAX(0,MIN(D142,$C$99-E142))</f>
        <v/>
      </c>
      <c r="G142" s="40">
        <f>MAX(0,D142-F142)</f>
        <v/>
      </c>
    </row>
    <row r="143">
      <c r="B143" s="41" t="inlineStr">
        <is>
          <t>TOTAL</t>
        </is>
      </c>
      <c r="C143" s="34" t="inlineStr"/>
      <c r="D143" s="34" t="inlineStr"/>
      <c r="E143" s="42">
        <f>SUM(E104:E142)</f>
        <v/>
      </c>
      <c r="F143" s="42">
        <f>SUM(F104:F142)</f>
        <v/>
      </c>
      <c r="G143" s="34" t="inlineStr"/>
    </row>
    <row r="146">
      <c r="A146" s="39" t="inlineStr">
        <is>
          <t>LOAN 4: 30 Trailers (June 2022)</t>
        </is>
      </c>
      <c r="B146" s="33" t="n"/>
      <c r="C146" s="33" t="n"/>
      <c r="D146" s="33" t="n"/>
      <c r="E146" s="33" t="n"/>
      <c r="F146" s="33" t="n"/>
      <c r="G146" s="33" t="n"/>
      <c r="H146" s="33" t="n"/>
    </row>
    <row r="147">
      <c r="B147" t="inlineStr">
        <is>
          <t>Loan ID:</t>
        </is>
      </c>
      <c r="C147" s="2" t="inlineStr">
        <is>
          <t>05-2939-003-000-00</t>
        </is>
      </c>
    </row>
    <row r="148">
      <c r="B148" t="inlineStr">
        <is>
          <t>Account:</t>
        </is>
      </c>
      <c r="C148" s="2" t="inlineStr">
        <is>
          <t>005</t>
        </is>
      </c>
    </row>
    <row r="149">
      <c r="B149" t="inlineStr">
        <is>
          <t>Origination Date:</t>
        </is>
      </c>
      <c r="C149" s="2" t="inlineStr">
        <is>
          <t>2022-06-15</t>
        </is>
      </c>
    </row>
    <row r="150">
      <c r="B150" t="inlineStr">
        <is>
          <t>Maturity Date:</t>
        </is>
      </c>
      <c r="C150" s="2" t="inlineStr">
        <is>
          <t>2029-09-15</t>
        </is>
      </c>
    </row>
    <row r="151">
      <c r="B151" t="inlineStr">
        <is>
          <t>Original Balance:</t>
        </is>
      </c>
      <c r="C151" s="3" t="n">
        <v>1993260</v>
      </c>
    </row>
    <row r="152">
      <c r="B152" t="inlineStr">
        <is>
          <t>Remaining Balance (Nov 2025):</t>
        </is>
      </c>
      <c r="C152" s="3" t="n">
        <v>1179533</v>
      </c>
    </row>
    <row r="153">
      <c r="B153" t="inlineStr">
        <is>
          <t>Annual Interest Rate:</t>
        </is>
      </c>
      <c r="C153" s="4" t="n">
        <v>0.0437</v>
      </c>
    </row>
    <row r="154">
      <c r="B154" t="inlineStr">
        <is>
          <t>Monthly Payment:</t>
        </is>
      </c>
      <c r="C154" s="3" t="n">
        <v>27900.53</v>
      </c>
    </row>
    <row r="155">
      <c r="B155" t="inlineStr">
        <is>
          <t>Loan Type:</t>
        </is>
      </c>
      <c r="C155" s="2" t="inlineStr">
        <is>
          <t>AMORTIZING</t>
        </is>
      </c>
    </row>
    <row r="156">
      <c r="B156" t="inlineStr">
        <is>
          <t>Use/Collateral:</t>
        </is>
      </c>
      <c r="C156" s="2" t="inlineStr">
        <is>
          <t>Equipment (Trailers)</t>
        </is>
      </c>
    </row>
    <row r="158">
      <c r="B158" s="23" t="inlineStr">
        <is>
          <t>Month #</t>
        </is>
      </c>
      <c r="C158" s="23" t="inlineStr">
        <is>
          <t>Date</t>
        </is>
      </c>
      <c r="D158" s="23" t="inlineStr">
        <is>
          <t>Opening Balance</t>
        </is>
      </c>
      <c r="E158" s="23" t="inlineStr">
        <is>
          <t>Interest</t>
        </is>
      </c>
      <c r="F158" s="23" t="inlineStr">
        <is>
          <t>Principal</t>
        </is>
      </c>
      <c r="G158" s="23" t="inlineStr">
        <is>
          <t>Closing Balance</t>
        </is>
      </c>
    </row>
    <row r="159">
      <c r="B159" s="34" t="n">
        <v>1</v>
      </c>
      <c r="C159" s="34" t="inlineStr">
        <is>
          <t>2025-12-01</t>
        </is>
      </c>
      <c r="D159" s="37" t="n">
        <v>1179533</v>
      </c>
      <c r="E159" s="40">
        <f>MAX(0,D159*$C$153/12)</f>
        <v/>
      </c>
      <c r="F159" s="40">
        <f>MAX(0,MIN(D159,$C$154-E159))</f>
        <v/>
      </c>
      <c r="G159" s="40">
        <f>MAX(0,D159-F159)</f>
        <v/>
      </c>
    </row>
    <row r="160">
      <c r="B160" s="34" t="n">
        <v>2</v>
      </c>
      <c r="C160" s="34" t="inlineStr">
        <is>
          <t>2026-01-01</t>
        </is>
      </c>
      <c r="D160" s="40">
        <f>G159</f>
        <v/>
      </c>
      <c r="E160" s="40">
        <f>MAX(0,D160*$C$153/12)</f>
        <v/>
      </c>
      <c r="F160" s="40">
        <f>MAX(0,MIN(D160,$C$154-E160))</f>
        <v/>
      </c>
      <c r="G160" s="40">
        <f>MAX(0,D160-F160)</f>
        <v/>
      </c>
    </row>
    <row r="161">
      <c r="B161" s="34" t="n">
        <v>3</v>
      </c>
      <c r="C161" s="34" t="inlineStr">
        <is>
          <t>2026-02-01</t>
        </is>
      </c>
      <c r="D161" s="40">
        <f>G160</f>
        <v/>
      </c>
      <c r="E161" s="40">
        <f>MAX(0,D161*$C$153/12)</f>
        <v/>
      </c>
      <c r="F161" s="40">
        <f>MAX(0,MIN(D161,$C$154-E161))</f>
        <v/>
      </c>
      <c r="G161" s="40">
        <f>MAX(0,D161-F161)</f>
        <v/>
      </c>
    </row>
    <row r="162">
      <c r="B162" s="34" t="n">
        <v>4</v>
      </c>
      <c r="C162" s="34" t="inlineStr">
        <is>
          <t>2026-03-01</t>
        </is>
      </c>
      <c r="D162" s="40">
        <f>G161</f>
        <v/>
      </c>
      <c r="E162" s="40">
        <f>MAX(0,D162*$C$153/12)</f>
        <v/>
      </c>
      <c r="F162" s="40">
        <f>MAX(0,MIN(D162,$C$154-E162))</f>
        <v/>
      </c>
      <c r="G162" s="40">
        <f>MAX(0,D162-F162)</f>
        <v/>
      </c>
    </row>
    <row r="163">
      <c r="B163" s="34" t="n">
        <v>5</v>
      </c>
      <c r="C163" s="34" t="inlineStr">
        <is>
          <t>2026-04-01</t>
        </is>
      </c>
      <c r="D163" s="40">
        <f>G162</f>
        <v/>
      </c>
      <c r="E163" s="40">
        <f>MAX(0,D163*$C$153/12)</f>
        <v/>
      </c>
      <c r="F163" s="40">
        <f>MAX(0,MIN(D163,$C$154-E163))</f>
        <v/>
      </c>
      <c r="G163" s="40">
        <f>MAX(0,D163-F163)</f>
        <v/>
      </c>
    </row>
    <row r="164">
      <c r="B164" s="34" t="n">
        <v>6</v>
      </c>
      <c r="C164" s="34" t="inlineStr">
        <is>
          <t>2026-05-01</t>
        </is>
      </c>
      <c r="D164" s="40">
        <f>G163</f>
        <v/>
      </c>
      <c r="E164" s="40">
        <f>MAX(0,D164*$C$153/12)</f>
        <v/>
      </c>
      <c r="F164" s="40">
        <f>MAX(0,MIN(D164,$C$154-E164))</f>
        <v/>
      </c>
      <c r="G164" s="40">
        <f>MAX(0,D164-F164)</f>
        <v/>
      </c>
    </row>
    <row r="165">
      <c r="B165" s="34" t="n">
        <v>7</v>
      </c>
      <c r="C165" s="34" t="inlineStr">
        <is>
          <t>2026-06-01</t>
        </is>
      </c>
      <c r="D165" s="40">
        <f>G164</f>
        <v/>
      </c>
      <c r="E165" s="40">
        <f>MAX(0,D165*$C$153/12)</f>
        <v/>
      </c>
      <c r="F165" s="40">
        <f>MAX(0,MIN(D165,$C$154-E165))</f>
        <v/>
      </c>
      <c r="G165" s="40">
        <f>MAX(0,D165-F165)</f>
        <v/>
      </c>
    </row>
    <row r="166">
      <c r="B166" s="34" t="n">
        <v>8</v>
      </c>
      <c r="C166" s="34" t="inlineStr">
        <is>
          <t>2026-07-01</t>
        </is>
      </c>
      <c r="D166" s="40">
        <f>G165</f>
        <v/>
      </c>
      <c r="E166" s="40">
        <f>MAX(0,D166*$C$153/12)</f>
        <v/>
      </c>
      <c r="F166" s="40">
        <f>MAX(0,MIN(D166,$C$154-E166))</f>
        <v/>
      </c>
      <c r="G166" s="40">
        <f>MAX(0,D166-F166)</f>
        <v/>
      </c>
    </row>
    <row r="167">
      <c r="B167" s="34" t="n">
        <v>9</v>
      </c>
      <c r="C167" s="34" t="inlineStr">
        <is>
          <t>2026-08-01</t>
        </is>
      </c>
      <c r="D167" s="40">
        <f>G166</f>
        <v/>
      </c>
      <c r="E167" s="40">
        <f>MAX(0,D167*$C$153/12)</f>
        <v/>
      </c>
      <c r="F167" s="40">
        <f>MAX(0,MIN(D167,$C$154-E167))</f>
        <v/>
      </c>
      <c r="G167" s="40">
        <f>MAX(0,D167-F167)</f>
        <v/>
      </c>
    </row>
    <row r="168">
      <c r="B168" s="34" t="n">
        <v>10</v>
      </c>
      <c r="C168" s="34" t="inlineStr">
        <is>
          <t>2026-09-01</t>
        </is>
      </c>
      <c r="D168" s="40">
        <f>G167</f>
        <v/>
      </c>
      <c r="E168" s="40">
        <f>MAX(0,D168*$C$153/12)</f>
        <v/>
      </c>
      <c r="F168" s="40">
        <f>MAX(0,MIN(D168,$C$154-E168))</f>
        <v/>
      </c>
      <c r="G168" s="40">
        <f>MAX(0,D168-F168)</f>
        <v/>
      </c>
    </row>
    <row r="169">
      <c r="B169" s="34" t="n">
        <v>11</v>
      </c>
      <c r="C169" s="34" t="inlineStr">
        <is>
          <t>2026-10-01</t>
        </is>
      </c>
      <c r="D169" s="40">
        <f>G168</f>
        <v/>
      </c>
      <c r="E169" s="40">
        <f>MAX(0,D169*$C$153/12)</f>
        <v/>
      </c>
      <c r="F169" s="40">
        <f>MAX(0,MIN(D169,$C$154-E169))</f>
        <v/>
      </c>
      <c r="G169" s="40">
        <f>MAX(0,D169-F169)</f>
        <v/>
      </c>
    </row>
    <row r="170">
      <c r="B170" s="34" t="n">
        <v>12</v>
      </c>
      <c r="C170" s="34" t="inlineStr">
        <is>
          <t>2026-11-01</t>
        </is>
      </c>
      <c r="D170" s="40">
        <f>G169</f>
        <v/>
      </c>
      <c r="E170" s="40">
        <f>MAX(0,D170*$C$153/12)</f>
        <v/>
      </c>
      <c r="F170" s="40">
        <f>MAX(0,MIN(D170,$C$154-E170))</f>
        <v/>
      </c>
      <c r="G170" s="40">
        <f>MAX(0,D170-F170)</f>
        <v/>
      </c>
    </row>
    <row r="171">
      <c r="B171" s="34" t="n">
        <v>13</v>
      </c>
      <c r="C171" s="34" t="inlineStr">
        <is>
          <t>2026-12-01</t>
        </is>
      </c>
      <c r="D171" s="40">
        <f>G170</f>
        <v/>
      </c>
      <c r="E171" s="40">
        <f>MAX(0,D171*$C$153/12)</f>
        <v/>
      </c>
      <c r="F171" s="40">
        <f>MAX(0,MIN(D171,$C$154-E171))</f>
        <v/>
      </c>
      <c r="G171" s="40">
        <f>MAX(0,D171-F171)</f>
        <v/>
      </c>
    </row>
    <row r="172">
      <c r="B172" s="34" t="n">
        <v>14</v>
      </c>
      <c r="C172" s="34" t="inlineStr">
        <is>
          <t>2027-01-01</t>
        </is>
      </c>
      <c r="D172" s="40">
        <f>G171</f>
        <v/>
      </c>
      <c r="E172" s="40">
        <f>MAX(0,D172*$C$153/12)</f>
        <v/>
      </c>
      <c r="F172" s="40">
        <f>MAX(0,MIN(D172,$C$154-E172))</f>
        <v/>
      </c>
      <c r="G172" s="40">
        <f>MAX(0,D172-F172)</f>
        <v/>
      </c>
    </row>
    <row r="173">
      <c r="B173" s="34" t="n">
        <v>15</v>
      </c>
      <c r="C173" s="34" t="inlineStr">
        <is>
          <t>2027-02-01</t>
        </is>
      </c>
      <c r="D173" s="40">
        <f>G172</f>
        <v/>
      </c>
      <c r="E173" s="40">
        <f>MAX(0,D173*$C$153/12)</f>
        <v/>
      </c>
      <c r="F173" s="40">
        <f>MAX(0,MIN(D173,$C$154-E173))</f>
        <v/>
      </c>
      <c r="G173" s="40">
        <f>MAX(0,D173-F173)</f>
        <v/>
      </c>
    </row>
    <row r="174">
      <c r="B174" s="34" t="n">
        <v>16</v>
      </c>
      <c r="C174" s="34" t="inlineStr">
        <is>
          <t>2027-03-01</t>
        </is>
      </c>
      <c r="D174" s="40">
        <f>G173</f>
        <v/>
      </c>
      <c r="E174" s="40">
        <f>MAX(0,D174*$C$153/12)</f>
        <v/>
      </c>
      <c r="F174" s="40">
        <f>MAX(0,MIN(D174,$C$154-E174))</f>
        <v/>
      </c>
      <c r="G174" s="40">
        <f>MAX(0,D174-F174)</f>
        <v/>
      </c>
    </row>
    <row r="175">
      <c r="B175" s="34" t="n">
        <v>17</v>
      </c>
      <c r="C175" s="34" t="inlineStr">
        <is>
          <t>2027-04-01</t>
        </is>
      </c>
      <c r="D175" s="40">
        <f>G174</f>
        <v/>
      </c>
      <c r="E175" s="40">
        <f>MAX(0,D175*$C$153/12)</f>
        <v/>
      </c>
      <c r="F175" s="40">
        <f>MAX(0,MIN(D175,$C$154-E175))</f>
        <v/>
      </c>
      <c r="G175" s="40">
        <f>MAX(0,D175-F175)</f>
        <v/>
      </c>
    </row>
    <row r="176">
      <c r="B176" s="34" t="n">
        <v>18</v>
      </c>
      <c r="C176" s="34" t="inlineStr">
        <is>
          <t>2027-05-01</t>
        </is>
      </c>
      <c r="D176" s="40">
        <f>G175</f>
        <v/>
      </c>
      <c r="E176" s="40">
        <f>MAX(0,D176*$C$153/12)</f>
        <v/>
      </c>
      <c r="F176" s="40">
        <f>MAX(0,MIN(D176,$C$154-E176))</f>
        <v/>
      </c>
      <c r="G176" s="40">
        <f>MAX(0,D176-F176)</f>
        <v/>
      </c>
    </row>
    <row r="177">
      <c r="B177" s="34" t="n">
        <v>19</v>
      </c>
      <c r="C177" s="34" t="inlineStr">
        <is>
          <t>2027-06-01</t>
        </is>
      </c>
      <c r="D177" s="40">
        <f>G176</f>
        <v/>
      </c>
      <c r="E177" s="40">
        <f>MAX(0,D177*$C$153/12)</f>
        <v/>
      </c>
      <c r="F177" s="40">
        <f>MAX(0,MIN(D177,$C$154-E177))</f>
        <v/>
      </c>
      <c r="G177" s="40">
        <f>MAX(0,D177-F177)</f>
        <v/>
      </c>
    </row>
    <row r="178">
      <c r="B178" s="34" t="n">
        <v>20</v>
      </c>
      <c r="C178" s="34" t="inlineStr">
        <is>
          <t>2027-07-01</t>
        </is>
      </c>
      <c r="D178" s="40">
        <f>G177</f>
        <v/>
      </c>
      <c r="E178" s="40">
        <f>MAX(0,D178*$C$153/12)</f>
        <v/>
      </c>
      <c r="F178" s="40">
        <f>MAX(0,MIN(D178,$C$154-E178))</f>
        <v/>
      </c>
      <c r="G178" s="40">
        <f>MAX(0,D178-F178)</f>
        <v/>
      </c>
    </row>
    <row r="179">
      <c r="B179" s="34" t="n">
        <v>21</v>
      </c>
      <c r="C179" s="34" t="inlineStr">
        <is>
          <t>2027-08-01</t>
        </is>
      </c>
      <c r="D179" s="40">
        <f>G178</f>
        <v/>
      </c>
      <c r="E179" s="40">
        <f>MAX(0,D179*$C$153/12)</f>
        <v/>
      </c>
      <c r="F179" s="40">
        <f>MAX(0,MIN(D179,$C$154-E179))</f>
        <v/>
      </c>
      <c r="G179" s="40">
        <f>MAX(0,D179-F179)</f>
        <v/>
      </c>
    </row>
    <row r="180">
      <c r="B180" s="34" t="n">
        <v>22</v>
      </c>
      <c r="C180" s="34" t="inlineStr">
        <is>
          <t>2027-09-01</t>
        </is>
      </c>
      <c r="D180" s="40">
        <f>G179</f>
        <v/>
      </c>
      <c r="E180" s="40">
        <f>MAX(0,D180*$C$153/12)</f>
        <v/>
      </c>
      <c r="F180" s="40">
        <f>MAX(0,MIN(D180,$C$154-E180))</f>
        <v/>
      </c>
      <c r="G180" s="40">
        <f>MAX(0,D180-F180)</f>
        <v/>
      </c>
    </row>
    <row r="181">
      <c r="B181" s="34" t="n">
        <v>23</v>
      </c>
      <c r="C181" s="34" t="inlineStr">
        <is>
          <t>2027-10-01</t>
        </is>
      </c>
      <c r="D181" s="40">
        <f>G180</f>
        <v/>
      </c>
      <c r="E181" s="40">
        <f>MAX(0,D181*$C$153/12)</f>
        <v/>
      </c>
      <c r="F181" s="40">
        <f>MAX(0,MIN(D181,$C$154-E181))</f>
        <v/>
      </c>
      <c r="G181" s="40">
        <f>MAX(0,D181-F181)</f>
        <v/>
      </c>
    </row>
    <row r="182">
      <c r="B182" s="34" t="n">
        <v>24</v>
      </c>
      <c r="C182" s="34" t="inlineStr">
        <is>
          <t>2027-11-01</t>
        </is>
      </c>
      <c r="D182" s="40">
        <f>G181</f>
        <v/>
      </c>
      <c r="E182" s="40">
        <f>MAX(0,D182*$C$153/12)</f>
        <v/>
      </c>
      <c r="F182" s="40">
        <f>MAX(0,MIN(D182,$C$154-E182))</f>
        <v/>
      </c>
      <c r="G182" s="40">
        <f>MAX(0,D182-F182)</f>
        <v/>
      </c>
    </row>
    <row r="183">
      <c r="B183" s="34" t="n">
        <v>25</v>
      </c>
      <c r="C183" s="34" t="inlineStr">
        <is>
          <t>2027-12-01</t>
        </is>
      </c>
      <c r="D183" s="40">
        <f>G182</f>
        <v/>
      </c>
      <c r="E183" s="40">
        <f>MAX(0,D183*$C$153/12)</f>
        <v/>
      </c>
      <c r="F183" s="40">
        <f>MAX(0,MIN(D183,$C$154-E183))</f>
        <v/>
      </c>
      <c r="G183" s="40">
        <f>MAX(0,D183-F183)</f>
        <v/>
      </c>
    </row>
    <row r="184">
      <c r="B184" s="34" t="n">
        <v>26</v>
      </c>
      <c r="C184" s="34" t="inlineStr">
        <is>
          <t>2028-01-01</t>
        </is>
      </c>
      <c r="D184" s="40">
        <f>G183</f>
        <v/>
      </c>
      <c r="E184" s="40">
        <f>MAX(0,D184*$C$153/12)</f>
        <v/>
      </c>
      <c r="F184" s="40">
        <f>MAX(0,MIN(D184,$C$154-E184))</f>
        <v/>
      </c>
      <c r="G184" s="40">
        <f>MAX(0,D184-F184)</f>
        <v/>
      </c>
    </row>
    <row r="185">
      <c r="B185" s="34" t="n">
        <v>27</v>
      </c>
      <c r="C185" s="34" t="inlineStr">
        <is>
          <t>2028-02-01</t>
        </is>
      </c>
      <c r="D185" s="40">
        <f>G184</f>
        <v/>
      </c>
      <c r="E185" s="40">
        <f>MAX(0,D185*$C$153/12)</f>
        <v/>
      </c>
      <c r="F185" s="40">
        <f>MAX(0,MIN(D185,$C$154-E185))</f>
        <v/>
      </c>
      <c r="G185" s="40">
        <f>MAX(0,D185-F185)</f>
        <v/>
      </c>
    </row>
    <row r="186">
      <c r="B186" s="34" t="n">
        <v>28</v>
      </c>
      <c r="C186" s="34" t="inlineStr">
        <is>
          <t>2028-03-01</t>
        </is>
      </c>
      <c r="D186" s="40">
        <f>G185</f>
        <v/>
      </c>
      <c r="E186" s="40">
        <f>MAX(0,D186*$C$153/12)</f>
        <v/>
      </c>
      <c r="F186" s="40">
        <f>MAX(0,MIN(D186,$C$154-E186))</f>
        <v/>
      </c>
      <c r="G186" s="40">
        <f>MAX(0,D186-F186)</f>
        <v/>
      </c>
    </row>
    <row r="187">
      <c r="B187" s="34" t="n">
        <v>29</v>
      </c>
      <c r="C187" s="34" t="inlineStr">
        <is>
          <t>2028-04-01</t>
        </is>
      </c>
      <c r="D187" s="40">
        <f>G186</f>
        <v/>
      </c>
      <c r="E187" s="40">
        <f>MAX(0,D187*$C$153/12)</f>
        <v/>
      </c>
      <c r="F187" s="40">
        <f>MAX(0,MIN(D187,$C$154-E187))</f>
        <v/>
      </c>
      <c r="G187" s="40">
        <f>MAX(0,D187-F187)</f>
        <v/>
      </c>
    </row>
    <row r="188">
      <c r="B188" s="34" t="n">
        <v>30</v>
      </c>
      <c r="C188" s="34" t="inlineStr">
        <is>
          <t>2028-05-01</t>
        </is>
      </c>
      <c r="D188" s="40">
        <f>G187</f>
        <v/>
      </c>
      <c r="E188" s="40">
        <f>MAX(0,D188*$C$153/12)</f>
        <v/>
      </c>
      <c r="F188" s="40">
        <f>MAX(0,MIN(D188,$C$154-E188))</f>
        <v/>
      </c>
      <c r="G188" s="40">
        <f>MAX(0,D188-F188)</f>
        <v/>
      </c>
    </row>
    <row r="189">
      <c r="B189" s="34" t="n">
        <v>31</v>
      </c>
      <c r="C189" s="34" t="inlineStr">
        <is>
          <t>2028-06-01</t>
        </is>
      </c>
      <c r="D189" s="40">
        <f>G188</f>
        <v/>
      </c>
      <c r="E189" s="40">
        <f>MAX(0,D189*$C$153/12)</f>
        <v/>
      </c>
      <c r="F189" s="40">
        <f>MAX(0,MIN(D189,$C$154-E189))</f>
        <v/>
      </c>
      <c r="G189" s="40">
        <f>MAX(0,D189-F189)</f>
        <v/>
      </c>
    </row>
    <row r="190">
      <c r="B190" s="34" t="n">
        <v>32</v>
      </c>
      <c r="C190" s="34" t="inlineStr">
        <is>
          <t>2028-07-01</t>
        </is>
      </c>
      <c r="D190" s="40">
        <f>G189</f>
        <v/>
      </c>
      <c r="E190" s="40">
        <f>MAX(0,D190*$C$153/12)</f>
        <v/>
      </c>
      <c r="F190" s="40">
        <f>MAX(0,MIN(D190,$C$154-E190))</f>
        <v/>
      </c>
      <c r="G190" s="40">
        <f>MAX(0,D190-F190)</f>
        <v/>
      </c>
    </row>
    <row r="191">
      <c r="B191" s="34" t="n">
        <v>33</v>
      </c>
      <c r="C191" s="34" t="inlineStr">
        <is>
          <t>2028-08-01</t>
        </is>
      </c>
      <c r="D191" s="40">
        <f>G190</f>
        <v/>
      </c>
      <c r="E191" s="40">
        <f>MAX(0,D191*$C$153/12)</f>
        <v/>
      </c>
      <c r="F191" s="40">
        <f>MAX(0,MIN(D191,$C$154-E191))</f>
        <v/>
      </c>
      <c r="G191" s="40">
        <f>MAX(0,D191-F191)</f>
        <v/>
      </c>
    </row>
    <row r="192">
      <c r="B192" s="34" t="n">
        <v>34</v>
      </c>
      <c r="C192" s="34" t="inlineStr">
        <is>
          <t>2028-09-01</t>
        </is>
      </c>
      <c r="D192" s="40">
        <f>G191</f>
        <v/>
      </c>
      <c r="E192" s="40">
        <f>MAX(0,D192*$C$153/12)</f>
        <v/>
      </c>
      <c r="F192" s="40">
        <f>MAX(0,MIN(D192,$C$154-E192))</f>
        <v/>
      </c>
      <c r="G192" s="40">
        <f>MAX(0,D192-F192)</f>
        <v/>
      </c>
    </row>
    <row r="193">
      <c r="B193" s="34" t="n">
        <v>35</v>
      </c>
      <c r="C193" s="34" t="inlineStr">
        <is>
          <t>2028-10-01</t>
        </is>
      </c>
      <c r="D193" s="40">
        <f>G192</f>
        <v/>
      </c>
      <c r="E193" s="40">
        <f>MAX(0,D193*$C$153/12)</f>
        <v/>
      </c>
      <c r="F193" s="40">
        <f>MAX(0,MIN(D193,$C$154-E193))</f>
        <v/>
      </c>
      <c r="G193" s="40">
        <f>MAX(0,D193-F193)</f>
        <v/>
      </c>
    </row>
    <row r="194">
      <c r="B194" s="34" t="n">
        <v>36</v>
      </c>
      <c r="C194" s="34" t="inlineStr">
        <is>
          <t>2028-11-01</t>
        </is>
      </c>
      <c r="D194" s="40">
        <f>G193</f>
        <v/>
      </c>
      <c r="E194" s="40">
        <f>MAX(0,D194*$C$153/12)</f>
        <v/>
      </c>
      <c r="F194" s="40">
        <f>MAX(0,MIN(D194,$C$154-E194))</f>
        <v/>
      </c>
      <c r="G194" s="40">
        <f>MAX(0,D194-F194)</f>
        <v/>
      </c>
    </row>
    <row r="195">
      <c r="B195" s="34" t="n">
        <v>37</v>
      </c>
      <c r="C195" s="34" t="inlineStr">
        <is>
          <t>2028-12-01</t>
        </is>
      </c>
      <c r="D195" s="40">
        <f>G194</f>
        <v/>
      </c>
      <c r="E195" s="40">
        <f>MAX(0,D195*$C$153/12)</f>
        <v/>
      </c>
      <c r="F195" s="40">
        <f>MAX(0,MIN(D195,$C$154-E195))</f>
        <v/>
      </c>
      <c r="G195" s="40">
        <f>MAX(0,D195-F195)</f>
        <v/>
      </c>
    </row>
    <row r="196">
      <c r="B196" s="34" t="n">
        <v>38</v>
      </c>
      <c r="C196" s="34" t="inlineStr">
        <is>
          <t>2029-01-01</t>
        </is>
      </c>
      <c r="D196" s="40">
        <f>G195</f>
        <v/>
      </c>
      <c r="E196" s="40">
        <f>MAX(0,D196*$C$153/12)</f>
        <v/>
      </c>
      <c r="F196" s="40">
        <f>MAX(0,MIN(D196,$C$154-E196))</f>
        <v/>
      </c>
      <c r="G196" s="40">
        <f>MAX(0,D196-F196)</f>
        <v/>
      </c>
    </row>
    <row r="197">
      <c r="B197" s="34" t="n">
        <v>39</v>
      </c>
      <c r="C197" s="34" t="inlineStr">
        <is>
          <t>2029-02-01</t>
        </is>
      </c>
      <c r="D197" s="40">
        <f>G196</f>
        <v/>
      </c>
      <c r="E197" s="40">
        <f>MAX(0,D197*$C$153/12)</f>
        <v/>
      </c>
      <c r="F197" s="40">
        <f>MAX(0,MIN(D197,$C$154-E197))</f>
        <v/>
      </c>
      <c r="G197" s="40">
        <f>MAX(0,D197-F197)</f>
        <v/>
      </c>
    </row>
    <row r="198">
      <c r="B198" s="34" t="n">
        <v>40</v>
      </c>
      <c r="C198" s="34" t="inlineStr">
        <is>
          <t>2029-03-01</t>
        </is>
      </c>
      <c r="D198" s="40">
        <f>G197</f>
        <v/>
      </c>
      <c r="E198" s="40">
        <f>MAX(0,D198*$C$153/12)</f>
        <v/>
      </c>
      <c r="F198" s="40">
        <f>MAX(0,MIN(D198,$C$154-E198))</f>
        <v/>
      </c>
      <c r="G198" s="40">
        <f>MAX(0,D198-F198)</f>
        <v/>
      </c>
    </row>
    <row r="199">
      <c r="B199" s="34" t="n">
        <v>41</v>
      </c>
      <c r="C199" s="34" t="inlineStr">
        <is>
          <t>2029-04-01</t>
        </is>
      </c>
      <c r="D199" s="40">
        <f>G198</f>
        <v/>
      </c>
      <c r="E199" s="40">
        <f>MAX(0,D199*$C$153/12)</f>
        <v/>
      </c>
      <c r="F199" s="40">
        <f>MAX(0,MIN(D199,$C$154-E199))</f>
        <v/>
      </c>
      <c r="G199" s="40">
        <f>MAX(0,D199-F199)</f>
        <v/>
      </c>
    </row>
    <row r="200">
      <c r="B200" s="34" t="n">
        <v>42</v>
      </c>
      <c r="C200" s="34" t="inlineStr">
        <is>
          <t>2029-05-01</t>
        </is>
      </c>
      <c r="D200" s="40">
        <f>G199</f>
        <v/>
      </c>
      <c r="E200" s="40">
        <f>MAX(0,D200*$C$153/12)</f>
        <v/>
      </c>
      <c r="F200" s="40">
        <f>MAX(0,MIN(D200,$C$154-E200))</f>
        <v/>
      </c>
      <c r="G200" s="40">
        <f>MAX(0,D200-F200)</f>
        <v/>
      </c>
    </row>
    <row r="201">
      <c r="B201" s="34" t="n">
        <v>43</v>
      </c>
      <c r="C201" s="34" t="inlineStr">
        <is>
          <t>2029-06-01</t>
        </is>
      </c>
      <c r="D201" s="40">
        <f>G200</f>
        <v/>
      </c>
      <c r="E201" s="40">
        <f>MAX(0,D201*$C$153/12)</f>
        <v/>
      </c>
      <c r="F201" s="40">
        <f>MAX(0,MIN(D201,$C$154-E201))</f>
        <v/>
      </c>
      <c r="G201" s="40">
        <f>MAX(0,D201-F201)</f>
        <v/>
      </c>
    </row>
    <row r="202">
      <c r="B202" s="34" t="n">
        <v>44</v>
      </c>
      <c r="C202" s="34" t="inlineStr">
        <is>
          <t>2029-07-01</t>
        </is>
      </c>
      <c r="D202" s="40">
        <f>G201</f>
        <v/>
      </c>
      <c r="E202" s="40">
        <f>MAX(0,D202*$C$153/12)</f>
        <v/>
      </c>
      <c r="F202" s="40">
        <f>MAX(0,MIN(D202,$C$154-E202))</f>
        <v/>
      </c>
      <c r="G202" s="40">
        <f>MAX(0,D202-F202)</f>
        <v/>
      </c>
    </row>
    <row r="203">
      <c r="B203" s="34" t="n">
        <v>45</v>
      </c>
      <c r="C203" s="34" t="inlineStr">
        <is>
          <t>2029-08-01</t>
        </is>
      </c>
      <c r="D203" s="40">
        <f>G202</f>
        <v/>
      </c>
      <c r="E203" s="40">
        <f>MAX(0,D203*$C$153/12)</f>
        <v/>
      </c>
      <c r="F203" s="40">
        <f>MAX(0,MIN(D203,$C$154-E203))</f>
        <v/>
      </c>
      <c r="G203" s="40">
        <f>MAX(0,D203-F203)</f>
        <v/>
      </c>
    </row>
    <row r="204">
      <c r="B204" s="34" t="n">
        <v>46</v>
      </c>
      <c r="C204" s="34" t="inlineStr">
        <is>
          <t>2029-09-01</t>
        </is>
      </c>
      <c r="D204" s="40">
        <f>G203</f>
        <v/>
      </c>
      <c r="E204" s="40">
        <f>MAX(0,D204*$C$153/12)</f>
        <v/>
      </c>
      <c r="F204" s="40">
        <f>MAX(0,MIN(D204,$C$154-E204))</f>
        <v/>
      </c>
      <c r="G204" s="40">
        <f>MAX(0,D204-F204)</f>
        <v/>
      </c>
    </row>
    <row r="205">
      <c r="B205" s="41" t="inlineStr">
        <is>
          <t>TOTAL</t>
        </is>
      </c>
      <c r="C205" s="34" t="inlineStr"/>
      <c r="D205" s="34" t="inlineStr"/>
      <c r="E205" s="42">
        <f>SUM(E159:E204)</f>
        <v/>
      </c>
      <c r="F205" s="42">
        <f>SUM(F159:F204)</f>
        <v/>
      </c>
      <c r="G205" s="34" t="inlineStr"/>
    </row>
    <row r="208">
      <c r="A208" s="39" t="inlineStr">
        <is>
          <t>LOAN 5: 7 T680 Trucks (March 2023)</t>
        </is>
      </c>
      <c r="B208" s="33" t="n"/>
      <c r="C208" s="33" t="n"/>
      <c r="D208" s="33" t="n"/>
      <c r="E208" s="33" t="n"/>
      <c r="F208" s="33" t="n"/>
      <c r="G208" s="33" t="n"/>
      <c r="H208" s="33" t="n"/>
    </row>
    <row r="209">
      <c r="B209" t="inlineStr">
        <is>
          <t>Loan ID:</t>
        </is>
      </c>
      <c r="C209" s="2" t="inlineStr">
        <is>
          <t>05-2939-005-000-00</t>
        </is>
      </c>
    </row>
    <row r="210">
      <c r="B210" t="inlineStr">
        <is>
          <t>Account:</t>
        </is>
      </c>
      <c r="C210" s="2" t="inlineStr">
        <is>
          <t>007</t>
        </is>
      </c>
    </row>
    <row r="211">
      <c r="B211" t="inlineStr">
        <is>
          <t>Origination Date:</t>
        </is>
      </c>
      <c r="C211" s="2" t="inlineStr">
        <is>
          <t>2023-03-29</t>
        </is>
      </c>
    </row>
    <row r="212">
      <c r="B212" t="inlineStr">
        <is>
          <t>Maturity Date:</t>
        </is>
      </c>
      <c r="C212" s="2" t="inlineStr">
        <is>
          <t>2028-12-29</t>
        </is>
      </c>
    </row>
    <row r="213">
      <c r="B213" t="inlineStr">
        <is>
          <t>Original Balance:</t>
        </is>
      </c>
      <c r="C213" s="3" t="n">
        <v>1238790</v>
      </c>
    </row>
    <row r="214">
      <c r="B214" t="inlineStr">
        <is>
          <t>Remaining Balance (Nov 2025):</t>
        </is>
      </c>
      <c r="C214" s="3" t="n">
        <v>785484</v>
      </c>
    </row>
    <row r="215">
      <c r="B215" t="inlineStr">
        <is>
          <t>Annual Interest Rate:</t>
        </is>
      </c>
      <c r="C215" s="4" t="n">
        <v>0.0572</v>
      </c>
    </row>
    <row r="216">
      <c r="B216" t="inlineStr">
        <is>
          <t>Monthly Payment:</t>
        </is>
      </c>
      <c r="C216" s="3" t="n">
        <v>15902.49</v>
      </c>
    </row>
    <row r="217">
      <c r="B217" t="inlineStr">
        <is>
          <t>Loan Type:</t>
        </is>
      </c>
      <c r="C217" s="2" t="inlineStr">
        <is>
          <t>AMORTIZING</t>
        </is>
      </c>
    </row>
    <row r="218">
      <c r="B218" t="inlineStr">
        <is>
          <t>Use/Collateral:</t>
        </is>
      </c>
      <c r="C218" s="2" t="inlineStr">
        <is>
          <t>Equipment (Semi trucks)</t>
        </is>
      </c>
    </row>
    <row r="220">
      <c r="B220" s="23" t="inlineStr">
        <is>
          <t>Month #</t>
        </is>
      </c>
      <c r="C220" s="23" t="inlineStr">
        <is>
          <t>Date</t>
        </is>
      </c>
      <c r="D220" s="23" t="inlineStr">
        <is>
          <t>Opening Balance</t>
        </is>
      </c>
      <c r="E220" s="23" t="inlineStr">
        <is>
          <t>Interest</t>
        </is>
      </c>
      <c r="F220" s="23" t="inlineStr">
        <is>
          <t>Principal</t>
        </is>
      </c>
      <c r="G220" s="23" t="inlineStr">
        <is>
          <t>Closing Balance</t>
        </is>
      </c>
    </row>
    <row r="221">
      <c r="B221" s="34" t="n">
        <v>1</v>
      </c>
      <c r="C221" s="34" t="inlineStr">
        <is>
          <t>2025-12-01</t>
        </is>
      </c>
      <c r="D221" s="37" t="n">
        <v>785484</v>
      </c>
      <c r="E221" s="40">
        <f>MAX(0,D221*$C$215/12)</f>
        <v/>
      </c>
      <c r="F221" s="40">
        <f>MAX(0,MIN(D221,$C$216-E221))</f>
        <v/>
      </c>
      <c r="G221" s="40">
        <f>MAX(0,D221-F221)</f>
        <v/>
      </c>
    </row>
    <row r="222">
      <c r="B222" s="34" t="n">
        <v>2</v>
      </c>
      <c r="C222" s="34" t="inlineStr">
        <is>
          <t>2026-01-01</t>
        </is>
      </c>
      <c r="D222" s="40">
        <f>G221</f>
        <v/>
      </c>
      <c r="E222" s="40">
        <f>MAX(0,D222*$C$215/12)</f>
        <v/>
      </c>
      <c r="F222" s="40">
        <f>MAX(0,MIN(D222,$C$216-E222))</f>
        <v/>
      </c>
      <c r="G222" s="40">
        <f>MAX(0,D222-F222)</f>
        <v/>
      </c>
    </row>
    <row r="223">
      <c r="B223" s="34" t="n">
        <v>3</v>
      </c>
      <c r="C223" s="34" t="inlineStr">
        <is>
          <t>2026-02-01</t>
        </is>
      </c>
      <c r="D223" s="40">
        <f>G222</f>
        <v/>
      </c>
      <c r="E223" s="40">
        <f>MAX(0,D223*$C$215/12)</f>
        <v/>
      </c>
      <c r="F223" s="40">
        <f>MAX(0,MIN(D223,$C$216-E223))</f>
        <v/>
      </c>
      <c r="G223" s="40">
        <f>MAX(0,D223-F223)</f>
        <v/>
      </c>
    </row>
    <row r="224">
      <c r="B224" s="34" t="n">
        <v>4</v>
      </c>
      <c r="C224" s="34" t="inlineStr">
        <is>
          <t>2026-03-01</t>
        </is>
      </c>
      <c r="D224" s="40">
        <f>G223</f>
        <v/>
      </c>
      <c r="E224" s="40">
        <f>MAX(0,D224*$C$215/12)</f>
        <v/>
      </c>
      <c r="F224" s="40">
        <f>MAX(0,MIN(D224,$C$216-E224))</f>
        <v/>
      </c>
      <c r="G224" s="40">
        <f>MAX(0,D224-F224)</f>
        <v/>
      </c>
    </row>
    <row r="225">
      <c r="B225" s="34" t="n">
        <v>5</v>
      </c>
      <c r="C225" s="34" t="inlineStr">
        <is>
          <t>2026-04-01</t>
        </is>
      </c>
      <c r="D225" s="40">
        <f>G224</f>
        <v/>
      </c>
      <c r="E225" s="40">
        <f>MAX(0,D225*$C$215/12)</f>
        <v/>
      </c>
      <c r="F225" s="40">
        <f>MAX(0,MIN(D225,$C$216-E225))</f>
        <v/>
      </c>
      <c r="G225" s="40">
        <f>MAX(0,D225-F225)</f>
        <v/>
      </c>
    </row>
    <row r="226">
      <c r="B226" s="34" t="n">
        <v>6</v>
      </c>
      <c r="C226" s="34" t="inlineStr">
        <is>
          <t>2026-05-01</t>
        </is>
      </c>
      <c r="D226" s="40">
        <f>G225</f>
        <v/>
      </c>
      <c r="E226" s="40">
        <f>MAX(0,D226*$C$215/12)</f>
        <v/>
      </c>
      <c r="F226" s="40">
        <f>MAX(0,MIN(D226,$C$216-E226))</f>
        <v/>
      </c>
      <c r="G226" s="40">
        <f>MAX(0,D226-F226)</f>
        <v/>
      </c>
    </row>
    <row r="227">
      <c r="B227" s="34" t="n">
        <v>7</v>
      </c>
      <c r="C227" s="34" t="inlineStr">
        <is>
          <t>2026-06-01</t>
        </is>
      </c>
      <c r="D227" s="40">
        <f>G226</f>
        <v/>
      </c>
      <c r="E227" s="40">
        <f>MAX(0,D227*$C$215/12)</f>
        <v/>
      </c>
      <c r="F227" s="40">
        <f>MAX(0,MIN(D227,$C$216-E227))</f>
        <v/>
      </c>
      <c r="G227" s="40">
        <f>MAX(0,D227-F227)</f>
        <v/>
      </c>
    </row>
    <row r="228">
      <c r="B228" s="34" t="n">
        <v>8</v>
      </c>
      <c r="C228" s="34" t="inlineStr">
        <is>
          <t>2026-07-01</t>
        </is>
      </c>
      <c r="D228" s="40">
        <f>G227</f>
        <v/>
      </c>
      <c r="E228" s="40">
        <f>MAX(0,D228*$C$215/12)</f>
        <v/>
      </c>
      <c r="F228" s="40">
        <f>MAX(0,MIN(D228,$C$216-E228))</f>
        <v/>
      </c>
      <c r="G228" s="40">
        <f>MAX(0,D228-F228)</f>
        <v/>
      </c>
    </row>
    <row r="229">
      <c r="B229" s="34" t="n">
        <v>9</v>
      </c>
      <c r="C229" s="34" t="inlineStr">
        <is>
          <t>2026-08-01</t>
        </is>
      </c>
      <c r="D229" s="40">
        <f>G228</f>
        <v/>
      </c>
      <c r="E229" s="40">
        <f>MAX(0,D229*$C$215/12)</f>
        <v/>
      </c>
      <c r="F229" s="40">
        <f>MAX(0,MIN(D229,$C$216-E229))</f>
        <v/>
      </c>
      <c r="G229" s="40">
        <f>MAX(0,D229-F229)</f>
        <v/>
      </c>
    </row>
    <row r="230">
      <c r="B230" s="34" t="n">
        <v>10</v>
      </c>
      <c r="C230" s="34" t="inlineStr">
        <is>
          <t>2026-09-01</t>
        </is>
      </c>
      <c r="D230" s="40">
        <f>G229</f>
        <v/>
      </c>
      <c r="E230" s="40">
        <f>MAX(0,D230*$C$215/12)</f>
        <v/>
      </c>
      <c r="F230" s="40">
        <f>MAX(0,MIN(D230,$C$216-E230))</f>
        <v/>
      </c>
      <c r="G230" s="40">
        <f>MAX(0,D230-F230)</f>
        <v/>
      </c>
    </row>
    <row r="231">
      <c r="B231" s="34" t="n">
        <v>11</v>
      </c>
      <c r="C231" s="34" t="inlineStr">
        <is>
          <t>2026-10-01</t>
        </is>
      </c>
      <c r="D231" s="40">
        <f>G230</f>
        <v/>
      </c>
      <c r="E231" s="40">
        <f>MAX(0,D231*$C$215/12)</f>
        <v/>
      </c>
      <c r="F231" s="40">
        <f>MAX(0,MIN(D231,$C$216-E231))</f>
        <v/>
      </c>
      <c r="G231" s="40">
        <f>MAX(0,D231-F231)</f>
        <v/>
      </c>
    </row>
    <row r="232">
      <c r="B232" s="34" t="n">
        <v>12</v>
      </c>
      <c r="C232" s="34" t="inlineStr">
        <is>
          <t>2026-11-01</t>
        </is>
      </c>
      <c r="D232" s="40">
        <f>G231</f>
        <v/>
      </c>
      <c r="E232" s="40">
        <f>MAX(0,D232*$C$215/12)</f>
        <v/>
      </c>
      <c r="F232" s="40">
        <f>MAX(0,MIN(D232,$C$216-E232))</f>
        <v/>
      </c>
      <c r="G232" s="40">
        <f>MAX(0,D232-F232)</f>
        <v/>
      </c>
    </row>
    <row r="233">
      <c r="B233" s="34" t="n">
        <v>13</v>
      </c>
      <c r="C233" s="34" t="inlineStr">
        <is>
          <t>2026-12-01</t>
        </is>
      </c>
      <c r="D233" s="40">
        <f>G232</f>
        <v/>
      </c>
      <c r="E233" s="40">
        <f>MAX(0,D233*$C$215/12)</f>
        <v/>
      </c>
      <c r="F233" s="40">
        <f>MAX(0,MIN(D233,$C$216-E233))</f>
        <v/>
      </c>
      <c r="G233" s="40">
        <f>MAX(0,D233-F233)</f>
        <v/>
      </c>
    </row>
    <row r="234">
      <c r="B234" s="34" t="n">
        <v>14</v>
      </c>
      <c r="C234" s="34" t="inlineStr">
        <is>
          <t>2027-01-01</t>
        </is>
      </c>
      <c r="D234" s="40">
        <f>G233</f>
        <v/>
      </c>
      <c r="E234" s="40">
        <f>MAX(0,D234*$C$215/12)</f>
        <v/>
      </c>
      <c r="F234" s="40">
        <f>MAX(0,MIN(D234,$C$216-E234))</f>
        <v/>
      </c>
      <c r="G234" s="40">
        <f>MAX(0,D234-F234)</f>
        <v/>
      </c>
    </row>
    <row r="235">
      <c r="B235" s="34" t="n">
        <v>15</v>
      </c>
      <c r="C235" s="34" t="inlineStr">
        <is>
          <t>2027-02-01</t>
        </is>
      </c>
      <c r="D235" s="40">
        <f>G234</f>
        <v/>
      </c>
      <c r="E235" s="40">
        <f>MAX(0,D235*$C$215/12)</f>
        <v/>
      </c>
      <c r="F235" s="40">
        <f>MAX(0,MIN(D235,$C$216-E235))</f>
        <v/>
      </c>
      <c r="G235" s="40">
        <f>MAX(0,D235-F235)</f>
        <v/>
      </c>
    </row>
    <row r="236">
      <c r="B236" s="34" t="n">
        <v>16</v>
      </c>
      <c r="C236" s="34" t="inlineStr">
        <is>
          <t>2027-03-01</t>
        </is>
      </c>
      <c r="D236" s="40">
        <f>G235</f>
        <v/>
      </c>
      <c r="E236" s="40">
        <f>MAX(0,D236*$C$215/12)</f>
        <v/>
      </c>
      <c r="F236" s="40">
        <f>MAX(0,MIN(D236,$C$216-E236))</f>
        <v/>
      </c>
      <c r="G236" s="40">
        <f>MAX(0,D236-F236)</f>
        <v/>
      </c>
    </row>
    <row r="237">
      <c r="B237" s="34" t="n">
        <v>17</v>
      </c>
      <c r="C237" s="34" t="inlineStr">
        <is>
          <t>2027-04-01</t>
        </is>
      </c>
      <c r="D237" s="40">
        <f>G236</f>
        <v/>
      </c>
      <c r="E237" s="40">
        <f>MAX(0,D237*$C$215/12)</f>
        <v/>
      </c>
      <c r="F237" s="40">
        <f>MAX(0,MIN(D237,$C$216-E237))</f>
        <v/>
      </c>
      <c r="G237" s="40">
        <f>MAX(0,D237-F237)</f>
        <v/>
      </c>
    </row>
    <row r="238">
      <c r="B238" s="34" t="n">
        <v>18</v>
      </c>
      <c r="C238" s="34" t="inlineStr">
        <is>
          <t>2027-05-01</t>
        </is>
      </c>
      <c r="D238" s="40">
        <f>G237</f>
        <v/>
      </c>
      <c r="E238" s="40">
        <f>MAX(0,D238*$C$215/12)</f>
        <v/>
      </c>
      <c r="F238" s="40">
        <f>MAX(0,MIN(D238,$C$216-E238))</f>
        <v/>
      </c>
      <c r="G238" s="40">
        <f>MAX(0,D238-F238)</f>
        <v/>
      </c>
    </row>
    <row r="239">
      <c r="B239" s="34" t="n">
        <v>19</v>
      </c>
      <c r="C239" s="34" t="inlineStr">
        <is>
          <t>2027-06-01</t>
        </is>
      </c>
      <c r="D239" s="40">
        <f>G238</f>
        <v/>
      </c>
      <c r="E239" s="40">
        <f>MAX(0,D239*$C$215/12)</f>
        <v/>
      </c>
      <c r="F239" s="40">
        <f>MAX(0,MIN(D239,$C$216-E239))</f>
        <v/>
      </c>
      <c r="G239" s="40">
        <f>MAX(0,D239-F239)</f>
        <v/>
      </c>
    </row>
    <row r="240">
      <c r="B240" s="34" t="n">
        <v>20</v>
      </c>
      <c r="C240" s="34" t="inlineStr">
        <is>
          <t>2027-07-01</t>
        </is>
      </c>
      <c r="D240" s="40">
        <f>G239</f>
        <v/>
      </c>
      <c r="E240" s="40">
        <f>MAX(0,D240*$C$215/12)</f>
        <v/>
      </c>
      <c r="F240" s="40">
        <f>MAX(0,MIN(D240,$C$216-E240))</f>
        <v/>
      </c>
      <c r="G240" s="40">
        <f>MAX(0,D240-F240)</f>
        <v/>
      </c>
    </row>
    <row r="241">
      <c r="B241" s="34" t="n">
        <v>21</v>
      </c>
      <c r="C241" s="34" t="inlineStr">
        <is>
          <t>2027-08-01</t>
        </is>
      </c>
      <c r="D241" s="40">
        <f>G240</f>
        <v/>
      </c>
      <c r="E241" s="40">
        <f>MAX(0,D241*$C$215/12)</f>
        <v/>
      </c>
      <c r="F241" s="40">
        <f>MAX(0,MIN(D241,$C$216-E241))</f>
        <v/>
      </c>
      <c r="G241" s="40">
        <f>MAX(0,D241-F241)</f>
        <v/>
      </c>
    </row>
    <row r="242">
      <c r="B242" s="34" t="n">
        <v>22</v>
      </c>
      <c r="C242" s="34" t="inlineStr">
        <is>
          <t>2027-09-01</t>
        </is>
      </c>
      <c r="D242" s="40">
        <f>G241</f>
        <v/>
      </c>
      <c r="E242" s="40">
        <f>MAX(0,D242*$C$215/12)</f>
        <v/>
      </c>
      <c r="F242" s="40">
        <f>MAX(0,MIN(D242,$C$216-E242))</f>
        <v/>
      </c>
      <c r="G242" s="40">
        <f>MAX(0,D242-F242)</f>
        <v/>
      </c>
    </row>
    <row r="243">
      <c r="B243" s="34" t="n">
        <v>23</v>
      </c>
      <c r="C243" s="34" t="inlineStr">
        <is>
          <t>2027-10-01</t>
        </is>
      </c>
      <c r="D243" s="40">
        <f>G242</f>
        <v/>
      </c>
      <c r="E243" s="40">
        <f>MAX(0,D243*$C$215/12)</f>
        <v/>
      </c>
      <c r="F243" s="40">
        <f>MAX(0,MIN(D243,$C$216-E243))</f>
        <v/>
      </c>
      <c r="G243" s="40">
        <f>MAX(0,D243-F243)</f>
        <v/>
      </c>
    </row>
    <row r="244">
      <c r="B244" s="34" t="n">
        <v>24</v>
      </c>
      <c r="C244" s="34" t="inlineStr">
        <is>
          <t>2027-11-01</t>
        </is>
      </c>
      <c r="D244" s="40">
        <f>G243</f>
        <v/>
      </c>
      <c r="E244" s="40">
        <f>MAX(0,D244*$C$215/12)</f>
        <v/>
      </c>
      <c r="F244" s="40">
        <f>MAX(0,MIN(D244,$C$216-E244))</f>
        <v/>
      </c>
      <c r="G244" s="40">
        <f>MAX(0,D244-F244)</f>
        <v/>
      </c>
    </row>
    <row r="245">
      <c r="B245" s="34" t="n">
        <v>25</v>
      </c>
      <c r="C245" s="34" t="inlineStr">
        <is>
          <t>2027-12-01</t>
        </is>
      </c>
      <c r="D245" s="40">
        <f>G244</f>
        <v/>
      </c>
      <c r="E245" s="40">
        <f>MAX(0,D245*$C$215/12)</f>
        <v/>
      </c>
      <c r="F245" s="40">
        <f>MAX(0,MIN(D245,$C$216-E245))</f>
        <v/>
      </c>
      <c r="G245" s="40">
        <f>MAX(0,D245-F245)</f>
        <v/>
      </c>
    </row>
    <row r="246">
      <c r="B246" s="34" t="n">
        <v>26</v>
      </c>
      <c r="C246" s="34" t="inlineStr">
        <is>
          <t>2028-01-01</t>
        </is>
      </c>
      <c r="D246" s="40">
        <f>G245</f>
        <v/>
      </c>
      <c r="E246" s="40">
        <f>MAX(0,D246*$C$215/12)</f>
        <v/>
      </c>
      <c r="F246" s="40">
        <f>MAX(0,MIN(D246,$C$216-E246))</f>
        <v/>
      </c>
      <c r="G246" s="40">
        <f>MAX(0,D246-F246)</f>
        <v/>
      </c>
    </row>
    <row r="247">
      <c r="B247" s="34" t="n">
        <v>27</v>
      </c>
      <c r="C247" s="34" t="inlineStr">
        <is>
          <t>2028-02-01</t>
        </is>
      </c>
      <c r="D247" s="40">
        <f>G246</f>
        <v/>
      </c>
      <c r="E247" s="40">
        <f>MAX(0,D247*$C$215/12)</f>
        <v/>
      </c>
      <c r="F247" s="40">
        <f>MAX(0,MIN(D247,$C$216-E247))</f>
        <v/>
      </c>
      <c r="G247" s="40">
        <f>MAX(0,D247-F247)</f>
        <v/>
      </c>
    </row>
    <row r="248">
      <c r="B248" s="34" t="n">
        <v>28</v>
      </c>
      <c r="C248" s="34" t="inlineStr">
        <is>
          <t>2028-03-01</t>
        </is>
      </c>
      <c r="D248" s="40">
        <f>G247</f>
        <v/>
      </c>
      <c r="E248" s="40">
        <f>MAX(0,D248*$C$215/12)</f>
        <v/>
      </c>
      <c r="F248" s="40">
        <f>MAX(0,MIN(D248,$C$216-E248))</f>
        <v/>
      </c>
      <c r="G248" s="40">
        <f>MAX(0,D248-F248)</f>
        <v/>
      </c>
    </row>
    <row r="249">
      <c r="B249" s="34" t="n">
        <v>29</v>
      </c>
      <c r="C249" s="34" t="inlineStr">
        <is>
          <t>2028-04-01</t>
        </is>
      </c>
      <c r="D249" s="40">
        <f>G248</f>
        <v/>
      </c>
      <c r="E249" s="40">
        <f>MAX(0,D249*$C$215/12)</f>
        <v/>
      </c>
      <c r="F249" s="40">
        <f>MAX(0,MIN(D249,$C$216-E249))</f>
        <v/>
      </c>
      <c r="G249" s="40">
        <f>MAX(0,D249-F249)</f>
        <v/>
      </c>
    </row>
    <row r="250">
      <c r="B250" s="34" t="n">
        <v>30</v>
      </c>
      <c r="C250" s="34" t="inlineStr">
        <is>
          <t>2028-05-01</t>
        </is>
      </c>
      <c r="D250" s="40">
        <f>G249</f>
        <v/>
      </c>
      <c r="E250" s="40">
        <f>MAX(0,D250*$C$215/12)</f>
        <v/>
      </c>
      <c r="F250" s="40">
        <f>MAX(0,MIN(D250,$C$216-E250))</f>
        <v/>
      </c>
      <c r="G250" s="40">
        <f>MAX(0,D250-F250)</f>
        <v/>
      </c>
    </row>
    <row r="251">
      <c r="B251" s="34" t="n">
        <v>31</v>
      </c>
      <c r="C251" s="34" t="inlineStr">
        <is>
          <t>2028-06-01</t>
        </is>
      </c>
      <c r="D251" s="40">
        <f>G250</f>
        <v/>
      </c>
      <c r="E251" s="40">
        <f>MAX(0,D251*$C$215/12)</f>
        <v/>
      </c>
      <c r="F251" s="40">
        <f>MAX(0,MIN(D251,$C$216-E251))</f>
        <v/>
      </c>
      <c r="G251" s="40">
        <f>MAX(0,D251-F251)</f>
        <v/>
      </c>
    </row>
    <row r="252">
      <c r="B252" s="34" t="n">
        <v>32</v>
      </c>
      <c r="C252" s="34" t="inlineStr">
        <is>
          <t>2028-07-01</t>
        </is>
      </c>
      <c r="D252" s="40">
        <f>G251</f>
        <v/>
      </c>
      <c r="E252" s="40">
        <f>MAX(0,D252*$C$215/12)</f>
        <v/>
      </c>
      <c r="F252" s="40">
        <f>MAX(0,MIN(D252,$C$216-E252))</f>
        <v/>
      </c>
      <c r="G252" s="40">
        <f>MAX(0,D252-F252)</f>
        <v/>
      </c>
    </row>
    <row r="253">
      <c r="B253" s="34" t="n">
        <v>33</v>
      </c>
      <c r="C253" s="34" t="inlineStr">
        <is>
          <t>2028-08-01</t>
        </is>
      </c>
      <c r="D253" s="40">
        <f>G252</f>
        <v/>
      </c>
      <c r="E253" s="40">
        <f>MAX(0,D253*$C$215/12)</f>
        <v/>
      </c>
      <c r="F253" s="40">
        <f>MAX(0,MIN(D253,$C$216-E253))</f>
        <v/>
      </c>
      <c r="G253" s="40">
        <f>MAX(0,D253-F253)</f>
        <v/>
      </c>
    </row>
    <row r="254">
      <c r="B254" s="34" t="n">
        <v>34</v>
      </c>
      <c r="C254" s="34" t="inlineStr">
        <is>
          <t>2028-09-01</t>
        </is>
      </c>
      <c r="D254" s="40">
        <f>G253</f>
        <v/>
      </c>
      <c r="E254" s="40">
        <f>MAX(0,D254*$C$215/12)</f>
        <v/>
      </c>
      <c r="F254" s="40">
        <f>MAX(0,MIN(D254,$C$216-E254))</f>
        <v/>
      </c>
      <c r="G254" s="40">
        <f>MAX(0,D254-F254)</f>
        <v/>
      </c>
    </row>
    <row r="255">
      <c r="B255" s="34" t="n">
        <v>35</v>
      </c>
      <c r="C255" s="34" t="inlineStr">
        <is>
          <t>2028-10-01</t>
        </is>
      </c>
      <c r="D255" s="40">
        <f>G254</f>
        <v/>
      </c>
      <c r="E255" s="40">
        <f>MAX(0,D255*$C$215/12)</f>
        <v/>
      </c>
      <c r="F255" s="40">
        <f>MAX(0,MIN(D255,$C$216-E255))</f>
        <v/>
      </c>
      <c r="G255" s="40">
        <f>MAX(0,D255-F255)</f>
        <v/>
      </c>
    </row>
    <row r="256">
      <c r="B256" s="34" t="n">
        <v>36</v>
      </c>
      <c r="C256" s="34" t="inlineStr">
        <is>
          <t>2028-11-01</t>
        </is>
      </c>
      <c r="D256" s="40">
        <f>G255</f>
        <v/>
      </c>
      <c r="E256" s="40">
        <f>MAX(0,D256*$C$215/12)</f>
        <v/>
      </c>
      <c r="F256" s="40">
        <f>MAX(0,MIN(D256,$C$216-E256))</f>
        <v/>
      </c>
      <c r="G256" s="40">
        <f>MAX(0,D256-F256)</f>
        <v/>
      </c>
    </row>
    <row r="257">
      <c r="B257" s="34" t="n">
        <v>37</v>
      </c>
      <c r="C257" s="34" t="inlineStr">
        <is>
          <t>2028-12-01</t>
        </is>
      </c>
      <c r="D257" s="40">
        <f>G256</f>
        <v/>
      </c>
      <c r="E257" s="40">
        <f>MAX(0,D257*$C$215/12)</f>
        <v/>
      </c>
      <c r="F257" s="40">
        <f>MAX(0,MIN(D257,$C$216-E257))</f>
        <v/>
      </c>
      <c r="G257" s="40">
        <f>MAX(0,D257-F257)</f>
        <v/>
      </c>
    </row>
    <row r="258">
      <c r="B258" s="34" t="n">
        <v>38</v>
      </c>
      <c r="C258" s="34" t="inlineStr">
        <is>
          <t>2029-01-01</t>
        </is>
      </c>
      <c r="D258" s="40">
        <f>G257</f>
        <v/>
      </c>
      <c r="E258" s="40">
        <f>MAX(0,D258*$C$215/12)</f>
        <v/>
      </c>
      <c r="F258" s="40">
        <f>MAX(0,MIN(D258,$C$216-E258))</f>
        <v/>
      </c>
      <c r="G258" s="40">
        <f>MAX(0,D258-F258)</f>
        <v/>
      </c>
    </row>
    <row r="259">
      <c r="B259" s="41" t="inlineStr">
        <is>
          <t>TOTAL</t>
        </is>
      </c>
      <c r="C259" s="34" t="inlineStr"/>
      <c r="D259" s="34" t="inlineStr"/>
      <c r="E259" s="42">
        <f>SUM(E221:E258)</f>
        <v/>
      </c>
      <c r="F259" s="42">
        <f>SUM(F221:F258)</f>
        <v/>
      </c>
      <c r="G259" s="34" t="inlineStr"/>
    </row>
    <row r="262">
      <c r="A262" s="39" t="inlineStr">
        <is>
          <t>LOAN 6: 25 Trailers (April 2023)</t>
        </is>
      </c>
      <c r="B262" s="33" t="n"/>
      <c r="C262" s="33" t="n"/>
      <c r="D262" s="33" t="n"/>
      <c r="E262" s="33" t="n"/>
      <c r="F262" s="33" t="n"/>
      <c r="G262" s="33" t="n"/>
      <c r="H262" s="33" t="n"/>
    </row>
    <row r="263">
      <c r="B263" t="inlineStr">
        <is>
          <t>Loan ID:</t>
        </is>
      </c>
      <c r="C263" s="2" t="inlineStr">
        <is>
          <t>05-2939-006-000-00</t>
        </is>
      </c>
    </row>
    <row r="264">
      <c r="B264" t="inlineStr">
        <is>
          <t>Account:</t>
        </is>
      </c>
      <c r="C264" s="2" t="inlineStr">
        <is>
          <t>008</t>
        </is>
      </c>
    </row>
    <row r="265">
      <c r="B265" t="inlineStr">
        <is>
          <t>Origination Date:</t>
        </is>
      </c>
      <c r="C265" s="2" t="inlineStr">
        <is>
          <t>2023-04-21</t>
        </is>
      </c>
    </row>
    <row r="266">
      <c r="B266" t="inlineStr">
        <is>
          <t>Maturity Date:</t>
        </is>
      </c>
      <c r="C266" s="2" t="inlineStr">
        <is>
          <t>2030-07-21</t>
        </is>
      </c>
    </row>
    <row r="267">
      <c r="B267" t="inlineStr">
        <is>
          <t>Original Balance:</t>
        </is>
      </c>
      <c r="C267" s="3" t="n">
        <v>1557625</v>
      </c>
    </row>
    <row r="268">
      <c r="B268" t="inlineStr">
        <is>
          <t>Remaining Balance (Nov 2025):</t>
        </is>
      </c>
      <c r="C268" s="3" t="n">
        <v>1127616</v>
      </c>
    </row>
    <row r="269">
      <c r="B269" t="inlineStr">
        <is>
          <t>Annual Interest Rate:</t>
        </is>
      </c>
      <c r="C269" s="4" t="n">
        <v>0.0615</v>
      </c>
    </row>
    <row r="270">
      <c r="B270" t="inlineStr">
        <is>
          <t>Monthly Payment:</t>
        </is>
      </c>
      <c r="C270" s="3" t="n">
        <v>23238.84</v>
      </c>
    </row>
    <row r="271">
      <c r="B271" t="inlineStr">
        <is>
          <t>Loan Type:</t>
        </is>
      </c>
      <c r="C271" s="2" t="inlineStr">
        <is>
          <t>AMORTIZING</t>
        </is>
      </c>
    </row>
    <row r="272">
      <c r="B272" t="inlineStr">
        <is>
          <t>Use/Collateral:</t>
        </is>
      </c>
      <c r="C272" s="2" t="inlineStr">
        <is>
          <t>Equipment (Trailers)</t>
        </is>
      </c>
    </row>
    <row r="274">
      <c r="B274" s="23" t="inlineStr">
        <is>
          <t>Month #</t>
        </is>
      </c>
      <c r="C274" s="23" t="inlineStr">
        <is>
          <t>Date</t>
        </is>
      </c>
      <c r="D274" s="23" t="inlineStr">
        <is>
          <t>Opening Balance</t>
        </is>
      </c>
      <c r="E274" s="23" t="inlineStr">
        <is>
          <t>Interest</t>
        </is>
      </c>
      <c r="F274" s="23" t="inlineStr">
        <is>
          <t>Principal</t>
        </is>
      </c>
      <c r="G274" s="23" t="inlineStr">
        <is>
          <t>Closing Balance</t>
        </is>
      </c>
    </row>
    <row r="275">
      <c r="B275" s="34" t="n">
        <v>1</v>
      </c>
      <c r="C275" s="34" t="inlineStr">
        <is>
          <t>2025-12-01</t>
        </is>
      </c>
      <c r="D275" s="37" t="n">
        <v>1127616</v>
      </c>
      <c r="E275" s="40">
        <f>MAX(0,D275*$C$269/12)</f>
        <v/>
      </c>
      <c r="F275" s="40">
        <f>MAX(0,MIN(D275,$C$270-E275))</f>
        <v/>
      </c>
      <c r="G275" s="40">
        <f>MAX(0,D275-F275)</f>
        <v/>
      </c>
    </row>
    <row r="276">
      <c r="B276" s="34" t="n">
        <v>2</v>
      </c>
      <c r="C276" s="34" t="inlineStr">
        <is>
          <t>2026-01-01</t>
        </is>
      </c>
      <c r="D276" s="40">
        <f>G275</f>
        <v/>
      </c>
      <c r="E276" s="40">
        <f>MAX(0,D276*$C$269/12)</f>
        <v/>
      </c>
      <c r="F276" s="40">
        <f>MAX(0,MIN(D276,$C$270-E276))</f>
        <v/>
      </c>
      <c r="G276" s="40">
        <f>MAX(0,D276-F276)</f>
        <v/>
      </c>
    </row>
    <row r="277">
      <c r="B277" s="34" t="n">
        <v>3</v>
      </c>
      <c r="C277" s="34" t="inlineStr">
        <is>
          <t>2026-02-01</t>
        </is>
      </c>
      <c r="D277" s="40">
        <f>G276</f>
        <v/>
      </c>
      <c r="E277" s="40">
        <f>MAX(0,D277*$C$269/12)</f>
        <v/>
      </c>
      <c r="F277" s="40">
        <f>MAX(0,MIN(D277,$C$270-E277))</f>
        <v/>
      </c>
      <c r="G277" s="40">
        <f>MAX(0,D277-F277)</f>
        <v/>
      </c>
    </row>
    <row r="278">
      <c r="B278" s="34" t="n">
        <v>4</v>
      </c>
      <c r="C278" s="34" t="inlineStr">
        <is>
          <t>2026-03-01</t>
        </is>
      </c>
      <c r="D278" s="40">
        <f>G277</f>
        <v/>
      </c>
      <c r="E278" s="40">
        <f>MAX(0,D278*$C$269/12)</f>
        <v/>
      </c>
      <c r="F278" s="40">
        <f>MAX(0,MIN(D278,$C$270-E278))</f>
        <v/>
      </c>
      <c r="G278" s="40">
        <f>MAX(0,D278-F278)</f>
        <v/>
      </c>
    </row>
    <row r="279">
      <c r="B279" s="34" t="n">
        <v>5</v>
      </c>
      <c r="C279" s="34" t="inlineStr">
        <is>
          <t>2026-04-01</t>
        </is>
      </c>
      <c r="D279" s="40">
        <f>G278</f>
        <v/>
      </c>
      <c r="E279" s="40">
        <f>MAX(0,D279*$C$269/12)</f>
        <v/>
      </c>
      <c r="F279" s="40">
        <f>MAX(0,MIN(D279,$C$270-E279))</f>
        <v/>
      </c>
      <c r="G279" s="40">
        <f>MAX(0,D279-F279)</f>
        <v/>
      </c>
    </row>
    <row r="280">
      <c r="B280" s="34" t="n">
        <v>6</v>
      </c>
      <c r="C280" s="34" t="inlineStr">
        <is>
          <t>2026-05-01</t>
        </is>
      </c>
      <c r="D280" s="40">
        <f>G279</f>
        <v/>
      </c>
      <c r="E280" s="40">
        <f>MAX(0,D280*$C$269/12)</f>
        <v/>
      </c>
      <c r="F280" s="40">
        <f>MAX(0,MIN(D280,$C$270-E280))</f>
        <v/>
      </c>
      <c r="G280" s="40">
        <f>MAX(0,D280-F280)</f>
        <v/>
      </c>
    </row>
    <row r="281">
      <c r="B281" s="34" t="n">
        <v>7</v>
      </c>
      <c r="C281" s="34" t="inlineStr">
        <is>
          <t>2026-06-01</t>
        </is>
      </c>
      <c r="D281" s="40">
        <f>G280</f>
        <v/>
      </c>
      <c r="E281" s="40">
        <f>MAX(0,D281*$C$269/12)</f>
        <v/>
      </c>
      <c r="F281" s="40">
        <f>MAX(0,MIN(D281,$C$270-E281))</f>
        <v/>
      </c>
      <c r="G281" s="40">
        <f>MAX(0,D281-F281)</f>
        <v/>
      </c>
    </row>
    <row r="282">
      <c r="B282" s="34" t="n">
        <v>8</v>
      </c>
      <c r="C282" s="34" t="inlineStr">
        <is>
          <t>2026-07-01</t>
        </is>
      </c>
      <c r="D282" s="40">
        <f>G281</f>
        <v/>
      </c>
      <c r="E282" s="40">
        <f>MAX(0,D282*$C$269/12)</f>
        <v/>
      </c>
      <c r="F282" s="40">
        <f>MAX(0,MIN(D282,$C$270-E282))</f>
        <v/>
      </c>
      <c r="G282" s="40">
        <f>MAX(0,D282-F282)</f>
        <v/>
      </c>
    </row>
    <row r="283">
      <c r="B283" s="34" t="n">
        <v>9</v>
      </c>
      <c r="C283" s="34" t="inlineStr">
        <is>
          <t>2026-08-01</t>
        </is>
      </c>
      <c r="D283" s="40">
        <f>G282</f>
        <v/>
      </c>
      <c r="E283" s="40">
        <f>MAX(0,D283*$C$269/12)</f>
        <v/>
      </c>
      <c r="F283" s="40">
        <f>MAX(0,MIN(D283,$C$270-E283))</f>
        <v/>
      </c>
      <c r="G283" s="40">
        <f>MAX(0,D283-F283)</f>
        <v/>
      </c>
    </row>
    <row r="284">
      <c r="B284" s="34" t="n">
        <v>10</v>
      </c>
      <c r="C284" s="34" t="inlineStr">
        <is>
          <t>2026-09-01</t>
        </is>
      </c>
      <c r="D284" s="40">
        <f>G283</f>
        <v/>
      </c>
      <c r="E284" s="40">
        <f>MAX(0,D284*$C$269/12)</f>
        <v/>
      </c>
      <c r="F284" s="40">
        <f>MAX(0,MIN(D284,$C$270-E284))</f>
        <v/>
      </c>
      <c r="G284" s="40">
        <f>MAX(0,D284-F284)</f>
        <v/>
      </c>
    </row>
    <row r="285">
      <c r="B285" s="34" t="n">
        <v>11</v>
      </c>
      <c r="C285" s="34" t="inlineStr">
        <is>
          <t>2026-10-01</t>
        </is>
      </c>
      <c r="D285" s="40">
        <f>G284</f>
        <v/>
      </c>
      <c r="E285" s="40">
        <f>MAX(0,D285*$C$269/12)</f>
        <v/>
      </c>
      <c r="F285" s="40">
        <f>MAX(0,MIN(D285,$C$270-E285))</f>
        <v/>
      </c>
      <c r="G285" s="40">
        <f>MAX(0,D285-F285)</f>
        <v/>
      </c>
    </row>
    <row r="286">
      <c r="B286" s="34" t="n">
        <v>12</v>
      </c>
      <c r="C286" s="34" t="inlineStr">
        <is>
          <t>2026-11-01</t>
        </is>
      </c>
      <c r="D286" s="40">
        <f>G285</f>
        <v/>
      </c>
      <c r="E286" s="40">
        <f>MAX(0,D286*$C$269/12)</f>
        <v/>
      </c>
      <c r="F286" s="40">
        <f>MAX(0,MIN(D286,$C$270-E286))</f>
        <v/>
      </c>
      <c r="G286" s="40">
        <f>MAX(0,D286-F286)</f>
        <v/>
      </c>
    </row>
    <row r="287">
      <c r="B287" s="34" t="n">
        <v>13</v>
      </c>
      <c r="C287" s="34" t="inlineStr">
        <is>
          <t>2026-12-01</t>
        </is>
      </c>
      <c r="D287" s="40">
        <f>G286</f>
        <v/>
      </c>
      <c r="E287" s="40">
        <f>MAX(0,D287*$C$269/12)</f>
        <v/>
      </c>
      <c r="F287" s="40">
        <f>MAX(0,MIN(D287,$C$270-E287))</f>
        <v/>
      </c>
      <c r="G287" s="40">
        <f>MAX(0,D287-F287)</f>
        <v/>
      </c>
    </row>
    <row r="288">
      <c r="B288" s="34" t="n">
        <v>14</v>
      </c>
      <c r="C288" s="34" t="inlineStr">
        <is>
          <t>2027-01-01</t>
        </is>
      </c>
      <c r="D288" s="40">
        <f>G287</f>
        <v/>
      </c>
      <c r="E288" s="40">
        <f>MAX(0,D288*$C$269/12)</f>
        <v/>
      </c>
      <c r="F288" s="40">
        <f>MAX(0,MIN(D288,$C$270-E288))</f>
        <v/>
      </c>
      <c r="G288" s="40">
        <f>MAX(0,D288-F288)</f>
        <v/>
      </c>
    </row>
    <row r="289">
      <c r="B289" s="34" t="n">
        <v>15</v>
      </c>
      <c r="C289" s="34" t="inlineStr">
        <is>
          <t>2027-02-01</t>
        </is>
      </c>
      <c r="D289" s="40">
        <f>G288</f>
        <v/>
      </c>
      <c r="E289" s="40">
        <f>MAX(0,D289*$C$269/12)</f>
        <v/>
      </c>
      <c r="F289" s="40">
        <f>MAX(0,MIN(D289,$C$270-E289))</f>
        <v/>
      </c>
      <c r="G289" s="40">
        <f>MAX(0,D289-F289)</f>
        <v/>
      </c>
    </row>
    <row r="290">
      <c r="B290" s="34" t="n">
        <v>16</v>
      </c>
      <c r="C290" s="34" t="inlineStr">
        <is>
          <t>2027-03-01</t>
        </is>
      </c>
      <c r="D290" s="40">
        <f>G289</f>
        <v/>
      </c>
      <c r="E290" s="40">
        <f>MAX(0,D290*$C$269/12)</f>
        <v/>
      </c>
      <c r="F290" s="40">
        <f>MAX(0,MIN(D290,$C$270-E290))</f>
        <v/>
      </c>
      <c r="G290" s="40">
        <f>MAX(0,D290-F290)</f>
        <v/>
      </c>
    </row>
    <row r="291">
      <c r="B291" s="34" t="n">
        <v>17</v>
      </c>
      <c r="C291" s="34" t="inlineStr">
        <is>
          <t>2027-04-01</t>
        </is>
      </c>
      <c r="D291" s="40">
        <f>G290</f>
        <v/>
      </c>
      <c r="E291" s="40">
        <f>MAX(0,D291*$C$269/12)</f>
        <v/>
      </c>
      <c r="F291" s="40">
        <f>MAX(0,MIN(D291,$C$270-E291))</f>
        <v/>
      </c>
      <c r="G291" s="40">
        <f>MAX(0,D291-F291)</f>
        <v/>
      </c>
    </row>
    <row r="292">
      <c r="B292" s="34" t="n">
        <v>18</v>
      </c>
      <c r="C292" s="34" t="inlineStr">
        <is>
          <t>2027-05-01</t>
        </is>
      </c>
      <c r="D292" s="40">
        <f>G291</f>
        <v/>
      </c>
      <c r="E292" s="40">
        <f>MAX(0,D292*$C$269/12)</f>
        <v/>
      </c>
      <c r="F292" s="40">
        <f>MAX(0,MIN(D292,$C$270-E292))</f>
        <v/>
      </c>
      <c r="G292" s="40">
        <f>MAX(0,D292-F292)</f>
        <v/>
      </c>
    </row>
    <row r="293">
      <c r="B293" s="34" t="n">
        <v>19</v>
      </c>
      <c r="C293" s="34" t="inlineStr">
        <is>
          <t>2027-06-01</t>
        </is>
      </c>
      <c r="D293" s="40">
        <f>G292</f>
        <v/>
      </c>
      <c r="E293" s="40">
        <f>MAX(0,D293*$C$269/12)</f>
        <v/>
      </c>
      <c r="F293" s="40">
        <f>MAX(0,MIN(D293,$C$270-E293))</f>
        <v/>
      </c>
      <c r="G293" s="40">
        <f>MAX(0,D293-F293)</f>
        <v/>
      </c>
    </row>
    <row r="294">
      <c r="B294" s="34" t="n">
        <v>20</v>
      </c>
      <c r="C294" s="34" t="inlineStr">
        <is>
          <t>2027-07-01</t>
        </is>
      </c>
      <c r="D294" s="40">
        <f>G293</f>
        <v/>
      </c>
      <c r="E294" s="40">
        <f>MAX(0,D294*$C$269/12)</f>
        <v/>
      </c>
      <c r="F294" s="40">
        <f>MAX(0,MIN(D294,$C$270-E294))</f>
        <v/>
      </c>
      <c r="G294" s="40">
        <f>MAX(0,D294-F294)</f>
        <v/>
      </c>
    </row>
    <row r="295">
      <c r="B295" s="34" t="n">
        <v>21</v>
      </c>
      <c r="C295" s="34" t="inlineStr">
        <is>
          <t>2027-08-01</t>
        </is>
      </c>
      <c r="D295" s="40">
        <f>G294</f>
        <v/>
      </c>
      <c r="E295" s="40">
        <f>MAX(0,D295*$C$269/12)</f>
        <v/>
      </c>
      <c r="F295" s="40">
        <f>MAX(0,MIN(D295,$C$270-E295))</f>
        <v/>
      </c>
      <c r="G295" s="40">
        <f>MAX(0,D295-F295)</f>
        <v/>
      </c>
    </row>
    <row r="296">
      <c r="B296" s="34" t="n">
        <v>22</v>
      </c>
      <c r="C296" s="34" t="inlineStr">
        <is>
          <t>2027-09-01</t>
        </is>
      </c>
      <c r="D296" s="40">
        <f>G295</f>
        <v/>
      </c>
      <c r="E296" s="40">
        <f>MAX(0,D296*$C$269/12)</f>
        <v/>
      </c>
      <c r="F296" s="40">
        <f>MAX(0,MIN(D296,$C$270-E296))</f>
        <v/>
      </c>
      <c r="G296" s="40">
        <f>MAX(0,D296-F296)</f>
        <v/>
      </c>
    </row>
    <row r="297">
      <c r="B297" s="34" t="n">
        <v>23</v>
      </c>
      <c r="C297" s="34" t="inlineStr">
        <is>
          <t>2027-10-01</t>
        </is>
      </c>
      <c r="D297" s="40">
        <f>G296</f>
        <v/>
      </c>
      <c r="E297" s="40">
        <f>MAX(0,D297*$C$269/12)</f>
        <v/>
      </c>
      <c r="F297" s="40">
        <f>MAX(0,MIN(D297,$C$270-E297))</f>
        <v/>
      </c>
      <c r="G297" s="40">
        <f>MAX(0,D297-F297)</f>
        <v/>
      </c>
    </row>
    <row r="298">
      <c r="B298" s="34" t="n">
        <v>24</v>
      </c>
      <c r="C298" s="34" t="inlineStr">
        <is>
          <t>2027-11-01</t>
        </is>
      </c>
      <c r="D298" s="40">
        <f>G297</f>
        <v/>
      </c>
      <c r="E298" s="40">
        <f>MAX(0,D298*$C$269/12)</f>
        <v/>
      </c>
      <c r="F298" s="40">
        <f>MAX(0,MIN(D298,$C$270-E298))</f>
        <v/>
      </c>
      <c r="G298" s="40">
        <f>MAX(0,D298-F298)</f>
        <v/>
      </c>
    </row>
    <row r="299">
      <c r="B299" s="34" t="n">
        <v>25</v>
      </c>
      <c r="C299" s="34" t="inlineStr">
        <is>
          <t>2027-12-01</t>
        </is>
      </c>
      <c r="D299" s="40">
        <f>G298</f>
        <v/>
      </c>
      <c r="E299" s="40">
        <f>MAX(0,D299*$C$269/12)</f>
        <v/>
      </c>
      <c r="F299" s="40">
        <f>MAX(0,MIN(D299,$C$270-E299))</f>
        <v/>
      </c>
      <c r="G299" s="40">
        <f>MAX(0,D299-F299)</f>
        <v/>
      </c>
    </row>
    <row r="300">
      <c r="B300" s="34" t="n">
        <v>26</v>
      </c>
      <c r="C300" s="34" t="inlineStr">
        <is>
          <t>2028-01-01</t>
        </is>
      </c>
      <c r="D300" s="40">
        <f>G299</f>
        <v/>
      </c>
      <c r="E300" s="40">
        <f>MAX(0,D300*$C$269/12)</f>
        <v/>
      </c>
      <c r="F300" s="40">
        <f>MAX(0,MIN(D300,$C$270-E300))</f>
        <v/>
      </c>
      <c r="G300" s="40">
        <f>MAX(0,D300-F300)</f>
        <v/>
      </c>
    </row>
    <row r="301">
      <c r="B301" s="34" t="n">
        <v>27</v>
      </c>
      <c r="C301" s="34" t="inlineStr">
        <is>
          <t>2028-02-01</t>
        </is>
      </c>
      <c r="D301" s="40">
        <f>G300</f>
        <v/>
      </c>
      <c r="E301" s="40">
        <f>MAX(0,D301*$C$269/12)</f>
        <v/>
      </c>
      <c r="F301" s="40">
        <f>MAX(0,MIN(D301,$C$270-E301))</f>
        <v/>
      </c>
      <c r="G301" s="40">
        <f>MAX(0,D301-F301)</f>
        <v/>
      </c>
    </row>
    <row r="302">
      <c r="B302" s="34" t="n">
        <v>28</v>
      </c>
      <c r="C302" s="34" t="inlineStr">
        <is>
          <t>2028-03-01</t>
        </is>
      </c>
      <c r="D302" s="40">
        <f>G301</f>
        <v/>
      </c>
      <c r="E302" s="40">
        <f>MAX(0,D302*$C$269/12)</f>
        <v/>
      </c>
      <c r="F302" s="40">
        <f>MAX(0,MIN(D302,$C$270-E302))</f>
        <v/>
      </c>
      <c r="G302" s="40">
        <f>MAX(0,D302-F302)</f>
        <v/>
      </c>
    </row>
    <row r="303">
      <c r="B303" s="34" t="n">
        <v>29</v>
      </c>
      <c r="C303" s="34" t="inlineStr">
        <is>
          <t>2028-04-01</t>
        </is>
      </c>
      <c r="D303" s="40">
        <f>G302</f>
        <v/>
      </c>
      <c r="E303" s="40">
        <f>MAX(0,D303*$C$269/12)</f>
        <v/>
      </c>
      <c r="F303" s="40">
        <f>MAX(0,MIN(D303,$C$270-E303))</f>
        <v/>
      </c>
      <c r="G303" s="40">
        <f>MAX(0,D303-F303)</f>
        <v/>
      </c>
    </row>
    <row r="304">
      <c r="B304" s="34" t="n">
        <v>30</v>
      </c>
      <c r="C304" s="34" t="inlineStr">
        <is>
          <t>2028-05-01</t>
        </is>
      </c>
      <c r="D304" s="40">
        <f>G303</f>
        <v/>
      </c>
      <c r="E304" s="40">
        <f>MAX(0,D304*$C$269/12)</f>
        <v/>
      </c>
      <c r="F304" s="40">
        <f>MAX(0,MIN(D304,$C$270-E304))</f>
        <v/>
      </c>
      <c r="G304" s="40">
        <f>MAX(0,D304-F304)</f>
        <v/>
      </c>
    </row>
    <row r="305">
      <c r="B305" s="34" t="n">
        <v>31</v>
      </c>
      <c r="C305" s="34" t="inlineStr">
        <is>
          <t>2028-06-01</t>
        </is>
      </c>
      <c r="D305" s="40">
        <f>G304</f>
        <v/>
      </c>
      <c r="E305" s="40">
        <f>MAX(0,D305*$C$269/12)</f>
        <v/>
      </c>
      <c r="F305" s="40">
        <f>MAX(0,MIN(D305,$C$270-E305))</f>
        <v/>
      </c>
      <c r="G305" s="40">
        <f>MAX(0,D305-F305)</f>
        <v/>
      </c>
    </row>
    <row r="306">
      <c r="B306" s="34" t="n">
        <v>32</v>
      </c>
      <c r="C306" s="34" t="inlineStr">
        <is>
          <t>2028-07-01</t>
        </is>
      </c>
      <c r="D306" s="40">
        <f>G305</f>
        <v/>
      </c>
      <c r="E306" s="40">
        <f>MAX(0,D306*$C$269/12)</f>
        <v/>
      </c>
      <c r="F306" s="40">
        <f>MAX(0,MIN(D306,$C$270-E306))</f>
        <v/>
      </c>
      <c r="G306" s="40">
        <f>MAX(0,D306-F306)</f>
        <v/>
      </c>
    </row>
    <row r="307">
      <c r="B307" s="34" t="n">
        <v>33</v>
      </c>
      <c r="C307" s="34" t="inlineStr">
        <is>
          <t>2028-08-01</t>
        </is>
      </c>
      <c r="D307" s="40">
        <f>G306</f>
        <v/>
      </c>
      <c r="E307" s="40">
        <f>MAX(0,D307*$C$269/12)</f>
        <v/>
      </c>
      <c r="F307" s="40">
        <f>MAX(0,MIN(D307,$C$270-E307))</f>
        <v/>
      </c>
      <c r="G307" s="40">
        <f>MAX(0,D307-F307)</f>
        <v/>
      </c>
    </row>
    <row r="308">
      <c r="B308" s="34" t="n">
        <v>34</v>
      </c>
      <c r="C308" s="34" t="inlineStr">
        <is>
          <t>2028-09-01</t>
        </is>
      </c>
      <c r="D308" s="40">
        <f>G307</f>
        <v/>
      </c>
      <c r="E308" s="40">
        <f>MAX(0,D308*$C$269/12)</f>
        <v/>
      </c>
      <c r="F308" s="40">
        <f>MAX(0,MIN(D308,$C$270-E308))</f>
        <v/>
      </c>
      <c r="G308" s="40">
        <f>MAX(0,D308-F308)</f>
        <v/>
      </c>
    </row>
    <row r="309">
      <c r="B309" s="34" t="n">
        <v>35</v>
      </c>
      <c r="C309" s="34" t="inlineStr">
        <is>
          <t>2028-10-01</t>
        </is>
      </c>
      <c r="D309" s="40">
        <f>G308</f>
        <v/>
      </c>
      <c r="E309" s="40">
        <f>MAX(0,D309*$C$269/12)</f>
        <v/>
      </c>
      <c r="F309" s="40">
        <f>MAX(0,MIN(D309,$C$270-E309))</f>
        <v/>
      </c>
      <c r="G309" s="40">
        <f>MAX(0,D309-F309)</f>
        <v/>
      </c>
    </row>
    <row r="310">
      <c r="B310" s="34" t="n">
        <v>36</v>
      </c>
      <c r="C310" s="34" t="inlineStr">
        <is>
          <t>2028-11-01</t>
        </is>
      </c>
      <c r="D310" s="40">
        <f>G309</f>
        <v/>
      </c>
      <c r="E310" s="40">
        <f>MAX(0,D310*$C$269/12)</f>
        <v/>
      </c>
      <c r="F310" s="40">
        <f>MAX(0,MIN(D310,$C$270-E310))</f>
        <v/>
      </c>
      <c r="G310" s="40">
        <f>MAX(0,D310-F310)</f>
        <v/>
      </c>
    </row>
    <row r="311">
      <c r="B311" s="34" t="n">
        <v>37</v>
      </c>
      <c r="C311" s="34" t="inlineStr">
        <is>
          <t>2028-12-01</t>
        </is>
      </c>
      <c r="D311" s="40">
        <f>G310</f>
        <v/>
      </c>
      <c r="E311" s="40">
        <f>MAX(0,D311*$C$269/12)</f>
        <v/>
      </c>
      <c r="F311" s="40">
        <f>MAX(0,MIN(D311,$C$270-E311))</f>
        <v/>
      </c>
      <c r="G311" s="40">
        <f>MAX(0,D311-F311)</f>
        <v/>
      </c>
    </row>
    <row r="312">
      <c r="B312" s="34" t="n">
        <v>38</v>
      </c>
      <c r="C312" s="34" t="inlineStr">
        <is>
          <t>2029-01-01</t>
        </is>
      </c>
      <c r="D312" s="40">
        <f>G311</f>
        <v/>
      </c>
      <c r="E312" s="40">
        <f>MAX(0,D312*$C$269/12)</f>
        <v/>
      </c>
      <c r="F312" s="40">
        <f>MAX(0,MIN(D312,$C$270-E312))</f>
        <v/>
      </c>
      <c r="G312" s="40">
        <f>MAX(0,D312-F312)</f>
        <v/>
      </c>
    </row>
    <row r="313">
      <c r="B313" s="34" t="n">
        <v>39</v>
      </c>
      <c r="C313" s="34" t="inlineStr">
        <is>
          <t>2029-02-01</t>
        </is>
      </c>
      <c r="D313" s="40">
        <f>G312</f>
        <v/>
      </c>
      <c r="E313" s="40">
        <f>MAX(0,D313*$C$269/12)</f>
        <v/>
      </c>
      <c r="F313" s="40">
        <f>MAX(0,MIN(D313,$C$270-E313))</f>
        <v/>
      </c>
      <c r="G313" s="40">
        <f>MAX(0,D313-F313)</f>
        <v/>
      </c>
    </row>
    <row r="314">
      <c r="B314" s="34" t="n">
        <v>40</v>
      </c>
      <c r="C314" s="34" t="inlineStr">
        <is>
          <t>2029-03-01</t>
        </is>
      </c>
      <c r="D314" s="40">
        <f>G313</f>
        <v/>
      </c>
      <c r="E314" s="40">
        <f>MAX(0,D314*$C$269/12)</f>
        <v/>
      </c>
      <c r="F314" s="40">
        <f>MAX(0,MIN(D314,$C$270-E314))</f>
        <v/>
      </c>
      <c r="G314" s="40">
        <f>MAX(0,D314-F314)</f>
        <v/>
      </c>
    </row>
    <row r="315">
      <c r="B315" s="34" t="n">
        <v>41</v>
      </c>
      <c r="C315" s="34" t="inlineStr">
        <is>
          <t>2029-04-01</t>
        </is>
      </c>
      <c r="D315" s="40">
        <f>G314</f>
        <v/>
      </c>
      <c r="E315" s="40">
        <f>MAX(0,D315*$C$269/12)</f>
        <v/>
      </c>
      <c r="F315" s="40">
        <f>MAX(0,MIN(D315,$C$270-E315))</f>
        <v/>
      </c>
      <c r="G315" s="40">
        <f>MAX(0,D315-F315)</f>
        <v/>
      </c>
    </row>
    <row r="316">
      <c r="B316" s="34" t="n">
        <v>42</v>
      </c>
      <c r="C316" s="34" t="inlineStr">
        <is>
          <t>2029-05-01</t>
        </is>
      </c>
      <c r="D316" s="40">
        <f>G315</f>
        <v/>
      </c>
      <c r="E316" s="40">
        <f>MAX(0,D316*$C$269/12)</f>
        <v/>
      </c>
      <c r="F316" s="40">
        <f>MAX(0,MIN(D316,$C$270-E316))</f>
        <v/>
      </c>
      <c r="G316" s="40">
        <f>MAX(0,D316-F316)</f>
        <v/>
      </c>
    </row>
    <row r="317">
      <c r="B317" s="34" t="n">
        <v>43</v>
      </c>
      <c r="C317" s="34" t="inlineStr">
        <is>
          <t>2029-06-01</t>
        </is>
      </c>
      <c r="D317" s="40">
        <f>G316</f>
        <v/>
      </c>
      <c r="E317" s="40">
        <f>MAX(0,D317*$C$269/12)</f>
        <v/>
      </c>
      <c r="F317" s="40">
        <f>MAX(0,MIN(D317,$C$270-E317))</f>
        <v/>
      </c>
      <c r="G317" s="40">
        <f>MAX(0,D317-F317)</f>
        <v/>
      </c>
    </row>
    <row r="318">
      <c r="B318" s="34" t="n">
        <v>44</v>
      </c>
      <c r="C318" s="34" t="inlineStr">
        <is>
          <t>2029-07-01</t>
        </is>
      </c>
      <c r="D318" s="40">
        <f>G317</f>
        <v/>
      </c>
      <c r="E318" s="40">
        <f>MAX(0,D318*$C$269/12)</f>
        <v/>
      </c>
      <c r="F318" s="40">
        <f>MAX(0,MIN(D318,$C$270-E318))</f>
        <v/>
      </c>
      <c r="G318" s="40">
        <f>MAX(0,D318-F318)</f>
        <v/>
      </c>
    </row>
    <row r="319">
      <c r="B319" s="34" t="n">
        <v>45</v>
      </c>
      <c r="C319" s="34" t="inlineStr">
        <is>
          <t>2029-08-01</t>
        </is>
      </c>
      <c r="D319" s="40">
        <f>G318</f>
        <v/>
      </c>
      <c r="E319" s="40">
        <f>MAX(0,D319*$C$269/12)</f>
        <v/>
      </c>
      <c r="F319" s="40">
        <f>MAX(0,MIN(D319,$C$270-E319))</f>
        <v/>
      </c>
      <c r="G319" s="40">
        <f>MAX(0,D319-F319)</f>
        <v/>
      </c>
    </row>
    <row r="320">
      <c r="B320" s="34" t="n">
        <v>46</v>
      </c>
      <c r="C320" s="34" t="inlineStr">
        <is>
          <t>2029-09-01</t>
        </is>
      </c>
      <c r="D320" s="40">
        <f>G319</f>
        <v/>
      </c>
      <c r="E320" s="40">
        <f>MAX(0,D320*$C$269/12)</f>
        <v/>
      </c>
      <c r="F320" s="40">
        <f>MAX(0,MIN(D320,$C$270-E320))</f>
        <v/>
      </c>
      <c r="G320" s="40">
        <f>MAX(0,D320-F320)</f>
        <v/>
      </c>
    </row>
    <row r="321">
      <c r="B321" s="34" t="n">
        <v>47</v>
      </c>
      <c r="C321" s="34" t="inlineStr">
        <is>
          <t>2029-10-01</t>
        </is>
      </c>
      <c r="D321" s="40">
        <f>G320</f>
        <v/>
      </c>
      <c r="E321" s="40">
        <f>MAX(0,D321*$C$269/12)</f>
        <v/>
      </c>
      <c r="F321" s="40">
        <f>MAX(0,MIN(D321,$C$270-E321))</f>
        <v/>
      </c>
      <c r="G321" s="40">
        <f>MAX(0,D321-F321)</f>
        <v/>
      </c>
    </row>
    <row r="322">
      <c r="B322" s="34" t="n">
        <v>48</v>
      </c>
      <c r="C322" s="34" t="inlineStr">
        <is>
          <t>2029-11-01</t>
        </is>
      </c>
      <c r="D322" s="40">
        <f>G321</f>
        <v/>
      </c>
      <c r="E322" s="40">
        <f>MAX(0,D322*$C$269/12)</f>
        <v/>
      </c>
      <c r="F322" s="40">
        <f>MAX(0,MIN(D322,$C$270-E322))</f>
        <v/>
      </c>
      <c r="G322" s="40">
        <f>MAX(0,D322-F322)</f>
        <v/>
      </c>
    </row>
    <row r="323">
      <c r="B323" s="34" t="n">
        <v>49</v>
      </c>
      <c r="C323" s="34" t="inlineStr">
        <is>
          <t>2029-12-01</t>
        </is>
      </c>
      <c r="D323" s="40">
        <f>G322</f>
        <v/>
      </c>
      <c r="E323" s="40">
        <f>MAX(0,D323*$C$269/12)</f>
        <v/>
      </c>
      <c r="F323" s="40">
        <f>MAX(0,MIN(D323,$C$270-E323))</f>
        <v/>
      </c>
      <c r="G323" s="40">
        <f>MAX(0,D323-F323)</f>
        <v/>
      </c>
    </row>
    <row r="324">
      <c r="B324" s="34" t="n">
        <v>50</v>
      </c>
      <c r="C324" s="34" t="inlineStr">
        <is>
          <t>2030-01-01</t>
        </is>
      </c>
      <c r="D324" s="40">
        <f>G323</f>
        <v/>
      </c>
      <c r="E324" s="40">
        <f>MAX(0,D324*$C$269/12)</f>
        <v/>
      </c>
      <c r="F324" s="40">
        <f>MAX(0,MIN(D324,$C$270-E324))</f>
        <v/>
      </c>
      <c r="G324" s="40">
        <f>MAX(0,D324-F324)</f>
        <v/>
      </c>
    </row>
    <row r="325">
      <c r="B325" s="34" t="n">
        <v>51</v>
      </c>
      <c r="C325" s="34" t="inlineStr">
        <is>
          <t>2030-02-01</t>
        </is>
      </c>
      <c r="D325" s="40">
        <f>G324</f>
        <v/>
      </c>
      <c r="E325" s="40">
        <f>MAX(0,D325*$C$269/12)</f>
        <v/>
      </c>
      <c r="F325" s="40">
        <f>MAX(0,MIN(D325,$C$270-E325))</f>
        <v/>
      </c>
      <c r="G325" s="40">
        <f>MAX(0,D325-F325)</f>
        <v/>
      </c>
    </row>
    <row r="326">
      <c r="B326" s="34" t="n">
        <v>52</v>
      </c>
      <c r="C326" s="34" t="inlineStr">
        <is>
          <t>2030-03-01</t>
        </is>
      </c>
      <c r="D326" s="40">
        <f>G325</f>
        <v/>
      </c>
      <c r="E326" s="40">
        <f>MAX(0,D326*$C$269/12)</f>
        <v/>
      </c>
      <c r="F326" s="40">
        <f>MAX(0,MIN(D326,$C$270-E326))</f>
        <v/>
      </c>
      <c r="G326" s="40">
        <f>MAX(0,D326-F326)</f>
        <v/>
      </c>
    </row>
    <row r="327">
      <c r="B327" s="34" t="n">
        <v>53</v>
      </c>
      <c r="C327" s="34" t="inlineStr">
        <is>
          <t>2030-04-01</t>
        </is>
      </c>
      <c r="D327" s="40">
        <f>G326</f>
        <v/>
      </c>
      <c r="E327" s="40">
        <f>MAX(0,D327*$C$269/12)</f>
        <v/>
      </c>
      <c r="F327" s="40">
        <f>MAX(0,MIN(D327,$C$270-E327))</f>
        <v/>
      </c>
      <c r="G327" s="40">
        <f>MAX(0,D327-F327)</f>
        <v/>
      </c>
    </row>
    <row r="328">
      <c r="B328" s="34" t="n">
        <v>54</v>
      </c>
      <c r="C328" s="34" t="inlineStr">
        <is>
          <t>2030-05-01</t>
        </is>
      </c>
      <c r="D328" s="40">
        <f>G327</f>
        <v/>
      </c>
      <c r="E328" s="40">
        <f>MAX(0,D328*$C$269/12)</f>
        <v/>
      </c>
      <c r="F328" s="40">
        <f>MAX(0,MIN(D328,$C$270-E328))</f>
        <v/>
      </c>
      <c r="G328" s="40">
        <f>MAX(0,D328-F328)</f>
        <v/>
      </c>
    </row>
    <row r="329">
      <c r="B329" s="34" t="n">
        <v>55</v>
      </c>
      <c r="C329" s="34" t="inlineStr">
        <is>
          <t>2030-06-01</t>
        </is>
      </c>
      <c r="D329" s="40">
        <f>G328</f>
        <v/>
      </c>
      <c r="E329" s="40">
        <f>MAX(0,D329*$C$269/12)</f>
        <v/>
      </c>
      <c r="F329" s="40">
        <f>MAX(0,MIN(D329,$C$270-E329))</f>
        <v/>
      </c>
      <c r="G329" s="40">
        <f>MAX(0,D329-F329)</f>
        <v/>
      </c>
    </row>
    <row r="330">
      <c r="B330" s="34" t="n">
        <v>56</v>
      </c>
      <c r="C330" s="34" t="inlineStr">
        <is>
          <t>2030-07-01</t>
        </is>
      </c>
      <c r="D330" s="40">
        <f>G329</f>
        <v/>
      </c>
      <c r="E330" s="40">
        <f>MAX(0,D330*$C$269/12)</f>
        <v/>
      </c>
      <c r="F330" s="40">
        <f>MAX(0,MIN(D330,$C$270-E330))</f>
        <v/>
      </c>
      <c r="G330" s="40">
        <f>MAX(0,D330-F330)</f>
        <v/>
      </c>
    </row>
    <row r="331">
      <c r="B331" s="41" t="inlineStr">
        <is>
          <t>TOTAL</t>
        </is>
      </c>
      <c r="C331" s="34" t="inlineStr"/>
      <c r="D331" s="34" t="inlineStr"/>
      <c r="E331" s="42">
        <f>SUM(E275:E330)</f>
        <v/>
      </c>
      <c r="F331" s="42">
        <f>SUM(F275:F330)</f>
        <v/>
      </c>
      <c r="G331" s="34" t="inlineStr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9.xml><?xml version="1.0" encoding="utf-8"?>
<worksheet xmlns="http://schemas.openxmlformats.org/spreadsheetml/2006/main">
  <sheetPr>
    <tabColor rgb="00808080"/>
    <outlinePr summaryBelow="1" summaryRight="1"/>
    <pageSetUpPr/>
  </sheetPr>
  <dimension ref="A1:G477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65" t="inlineStr">
        <is>
          <t>BMO EQUIPMENT FINANCE - LOAN SUMMARY</t>
        </is>
      </c>
    </row>
    <row r="2">
      <c r="A2" t="inlineStr">
        <is>
          <t>As of Date:</t>
        </is>
      </c>
      <c r="B2" s="2" t="inlineStr">
        <is>
          <t>November 30, 2025</t>
        </is>
      </c>
    </row>
    <row r="3">
      <c r="A3" t="inlineStr">
        <is>
          <t>Lender:</t>
        </is>
      </c>
      <c r="B3" t="inlineStr">
        <is>
          <t>BMO</t>
        </is>
      </c>
    </row>
    <row r="4">
      <c r="A4" t="inlineStr">
        <is>
          <t>Number of Loans:</t>
        </is>
      </c>
      <c r="B4" s="2" t="n">
        <v>10</v>
      </c>
    </row>
    <row r="5">
      <c r="A5" t="inlineStr">
        <is>
          <t>Total Balance:</t>
        </is>
      </c>
      <c r="B5" s="22">
        <f>2871886</f>
        <v/>
      </c>
    </row>
    <row r="6">
      <c r="A6" t="inlineStr">
        <is>
          <t>Total Monthly Payment:</t>
        </is>
      </c>
      <c r="B6" s="3">
        <f>111650.85999999999</f>
        <v/>
      </c>
    </row>
    <row r="8">
      <c r="A8" s="66" t="inlineStr">
        <is>
          <t>Loan #</t>
        </is>
      </c>
      <c r="B8" s="66" t="inlineStr">
        <is>
          <t>Description</t>
        </is>
      </c>
      <c r="C8" s="66" t="inlineStr">
        <is>
          <t>Balance</t>
        </is>
      </c>
      <c r="D8" s="66" t="inlineStr">
        <is>
          <t>Rate</t>
        </is>
      </c>
      <c r="E8" s="66" t="inlineStr">
        <is>
          <t>Maturity</t>
        </is>
      </c>
      <c r="F8" s="66" t="inlineStr">
        <is>
          <t>Payment</t>
        </is>
      </c>
      <c r="G8" s="66" t="inlineStr">
        <is>
          <t>Type</t>
        </is>
      </c>
    </row>
    <row r="9">
      <c r="A9" s="67" t="n">
        <v>1</v>
      </c>
      <c r="B9" s="67" t="inlineStr">
        <is>
          <t>25 Trailers (2019)</t>
        </is>
      </c>
      <c r="C9" s="35" t="n">
        <v>140240</v>
      </c>
      <c r="D9" s="36" t="n">
        <v>0.038</v>
      </c>
      <c r="E9" s="67" t="inlineStr">
        <is>
          <t>2026-09-01</t>
        </is>
      </c>
      <c r="F9" s="37" t="n">
        <v>14022.38</v>
      </c>
      <c r="G9" s="67" t="inlineStr">
        <is>
          <t>AMORTIZING</t>
        </is>
      </c>
    </row>
    <row r="10">
      <c r="A10" s="67" t="n">
        <v>2</v>
      </c>
      <c r="B10" s="67" t="inlineStr">
        <is>
          <t>27 Trailers (2019)</t>
        </is>
      </c>
      <c r="C10" s="35" t="n">
        <v>208419</v>
      </c>
      <c r="D10" s="36" t="n">
        <v>0.037</v>
      </c>
      <c r="E10" s="67" t="inlineStr">
        <is>
          <t>2027-01-01</t>
        </is>
      </c>
      <c r="F10" s="37" t="n">
        <v>14430.53</v>
      </c>
      <c r="G10" s="67" t="inlineStr">
        <is>
          <t>AMORTIZING</t>
        </is>
      </c>
    </row>
    <row r="11">
      <c r="A11" s="67" t="n">
        <v>3</v>
      </c>
      <c r="B11" s="67" t="inlineStr">
        <is>
          <t>25 Trailers (Sept 2020)</t>
        </is>
      </c>
      <c r="C11" s="35" t="n">
        <v>274894</v>
      </c>
      <c r="D11" s="36" t="n">
        <v>0.037</v>
      </c>
      <c r="E11" s="67" t="inlineStr">
        <is>
          <t>2027-09-03</t>
        </is>
      </c>
      <c r="F11" s="37" t="n">
        <v>12945.01</v>
      </c>
      <c r="G11" s="67" t="inlineStr">
        <is>
          <t>AMORTIZING</t>
        </is>
      </c>
    </row>
    <row r="12">
      <c r="A12" s="67" t="n">
        <v>4</v>
      </c>
      <c r="B12" s="67" t="inlineStr">
        <is>
          <t>2 T680 Sleepers (July 2022)</t>
        </is>
      </c>
      <c r="C12" s="35" t="n">
        <v>139720</v>
      </c>
      <c r="D12" s="36" t="n">
        <v>0.0445</v>
      </c>
      <c r="E12" s="67" t="inlineStr">
        <is>
          <t>2028-02-01</t>
        </is>
      </c>
      <c r="F12" s="37" t="n">
        <v>5439.99</v>
      </c>
      <c r="G12" s="67" t="inlineStr">
        <is>
          <t>AMORTIZING</t>
        </is>
      </c>
    </row>
    <row r="13">
      <c r="A13" s="67" t="n">
        <v>5</v>
      </c>
      <c r="B13" s="67" t="inlineStr">
        <is>
          <t>5 T680 Sleepers (Aug 2022)</t>
        </is>
      </c>
      <c r="C13" s="35" t="n">
        <v>352277</v>
      </c>
      <c r="D13" s="36" t="n">
        <v>0.0442</v>
      </c>
      <c r="E13" s="67" t="inlineStr">
        <is>
          <t>2028-02-10</t>
        </is>
      </c>
      <c r="F13" s="37" t="n">
        <v>13666.65</v>
      </c>
      <c r="G13" s="67" t="inlineStr">
        <is>
          <t>AMORTIZING</t>
        </is>
      </c>
    </row>
    <row r="14">
      <c r="A14" s="67" t="n">
        <v>6</v>
      </c>
      <c r="B14" s="67" t="inlineStr">
        <is>
          <t>5 T680 Daycabs (May 2023)</t>
        </is>
      </c>
      <c r="C14" s="35" t="n">
        <v>492095</v>
      </c>
      <c r="D14" s="36" t="n">
        <v>0.0599</v>
      </c>
      <c r="E14" s="67" t="inlineStr">
        <is>
          <t>2028-12-01</t>
        </is>
      </c>
      <c r="F14" s="37" t="n">
        <v>14602.4</v>
      </c>
      <c r="G14" s="67" t="inlineStr">
        <is>
          <t>AMORTIZING</t>
        </is>
      </c>
    </row>
    <row r="15">
      <c r="A15" s="67" t="n">
        <v>7</v>
      </c>
      <c r="B15" s="67" t="inlineStr">
        <is>
          <t>1 Peterbilt 579 (May 2023)</t>
        </is>
      </c>
      <c r="C15" s="35" t="n">
        <v>113293</v>
      </c>
      <c r="D15" s="36" t="n">
        <v>0.0599</v>
      </c>
      <c r="E15" s="67" t="inlineStr">
        <is>
          <t>2028-12-01</t>
        </is>
      </c>
      <c r="F15" s="37" t="n">
        <v>3371.19</v>
      </c>
      <c r="G15" s="67" t="inlineStr">
        <is>
          <t>AMORTIZING</t>
        </is>
      </c>
    </row>
    <row r="16">
      <c r="A16" s="67" t="n">
        <v>8</v>
      </c>
      <c r="B16" s="67" t="inlineStr">
        <is>
          <t>3 Peterbilt 579 (June 2023)</t>
        </is>
      </c>
      <c r="C16" s="35" t="n">
        <v>350474</v>
      </c>
      <c r="D16" s="36" t="n">
        <v>0.0639</v>
      </c>
      <c r="E16" s="67" t="inlineStr">
        <is>
          <t>2029-01-01</t>
        </is>
      </c>
      <c r="F16" s="37" t="n">
        <v>10209.23</v>
      </c>
      <c r="G16" s="67" t="inlineStr">
        <is>
          <t>AMORTIZING</t>
        </is>
      </c>
    </row>
    <row r="17">
      <c r="A17" s="67" t="n">
        <v>9</v>
      </c>
      <c r="B17" s="67" t="inlineStr">
        <is>
          <t>1 Peterbilt 579 (July 2023)</t>
        </is>
      </c>
      <c r="C17" s="35" t="n">
        <v>116940</v>
      </c>
      <c r="D17" s="36" t="n">
        <v>0.0668</v>
      </c>
      <c r="E17" s="67" t="inlineStr">
        <is>
          <t>2029-01-10</t>
        </is>
      </c>
      <c r="F17" s="37" t="n">
        <v>3421.33</v>
      </c>
      <c r="G17" s="67" t="inlineStr">
        <is>
          <t>AMORTIZING</t>
        </is>
      </c>
    </row>
    <row r="18">
      <c r="A18" s="67" t="n">
        <v>10</v>
      </c>
      <c r="B18" s="67" t="inlineStr">
        <is>
          <t>6 T680 Sleepers (July 2023)</t>
        </is>
      </c>
      <c r="C18" s="35" t="n">
        <v>683534</v>
      </c>
      <c r="D18" s="36" t="n">
        <v>0.0668</v>
      </c>
      <c r="E18" s="67" t="inlineStr">
        <is>
          <t>2029-02-01</t>
        </is>
      </c>
      <c r="F18" s="37" t="n">
        <v>19542.15</v>
      </c>
      <c r="G18" s="67" t="inlineStr">
        <is>
          <t>AMORTIZING</t>
        </is>
      </c>
    </row>
    <row r="19">
      <c r="A19" s="62" t="inlineStr">
        <is>
          <t>TOTAL</t>
        </is>
      </c>
      <c r="B19" s="63" t="n"/>
      <c r="C19" s="68">
        <f>SUM(C9:C18)</f>
        <v/>
      </c>
      <c r="D19" s="63" t="n"/>
      <c r="E19" s="63" t="n"/>
      <c r="F19" s="64">
        <f>SUM(F9:F18)</f>
        <v/>
      </c>
      <c r="G19" s="63" t="n"/>
    </row>
    <row r="22">
      <c r="A22" s="17" t="inlineStr">
        <is>
          <t>AI ANALYSIS NOTES</t>
        </is>
      </c>
    </row>
    <row r="23">
      <c r="A23" s="6" t="inlineStr">
        <is>
          <t>Loan Type Classification: All 10 BMO loans are standard AMORTIZING equipment loans.</t>
        </is>
      </c>
    </row>
    <row r="24">
      <c r="A24" s="6" t="inlineStr">
        <is>
          <t>Equipment Mix: 3 trailer loans (early vintage) + 7 truck loans (T680, Peterbilt 579).</t>
        </is>
      </c>
    </row>
    <row r="25">
      <c r="A25" s="6" t="inlineStr">
        <is>
          <t>Rate Range: 3.70% - 6.68% (older loans have lower rates, 2023 loans higher).</t>
        </is>
      </c>
    </row>
    <row r="26">
      <c r="A26" s="6" t="inlineStr">
        <is>
          <t>Maturity Range: Sept 2026 - Feb 2029. Oldest loans maturing within 12 months.</t>
        </is>
      </c>
    </row>
    <row r="27">
      <c r="A27" s="6" t="inlineStr">
        <is>
          <t>Weighted Avg Rate: ~5.2% (based on balance-weighted calculation).</t>
        </is>
      </c>
    </row>
    <row r="28">
      <c r="A28" s="6" t="inlineStr">
        <is>
          <t>Monthly Cash Requirement: $111,651 total for all BMO debt service.</t>
        </is>
      </c>
    </row>
    <row r="31">
      <c r="A31" s="69" t="inlineStr">
        <is>
          <t>LOAN 1: 25 Trailers (2019)</t>
        </is>
      </c>
    </row>
    <row r="32">
      <c r="A32" t="inlineStr">
        <is>
          <t>Loan ID:</t>
        </is>
      </c>
      <c r="B32" s="2" t="inlineStr">
        <is>
          <t>05-2938-000-000-00</t>
        </is>
      </c>
    </row>
    <row r="33">
      <c r="A33" t="inlineStr">
        <is>
          <t>Account #:</t>
        </is>
      </c>
      <c r="B33" s="2" t="inlineStr">
        <is>
          <t>9334399001</t>
        </is>
      </c>
    </row>
    <row r="34">
      <c r="A34" t="inlineStr">
        <is>
          <t>Origination Date:</t>
        </is>
      </c>
      <c r="B34" s="2" t="inlineStr">
        <is>
          <t>2019-03-12</t>
        </is>
      </c>
    </row>
    <row r="35">
      <c r="A35" t="inlineStr">
        <is>
          <t>Maturity Date:</t>
        </is>
      </c>
      <c r="B35" s="2" t="inlineStr">
        <is>
          <t>2026-09-01</t>
        </is>
      </c>
    </row>
    <row r="36">
      <c r="A36" t="inlineStr">
        <is>
          <t>Original Balance:</t>
        </is>
      </c>
      <c r="B36" s="3" t="n">
        <v>996652.5</v>
      </c>
    </row>
    <row r="37">
      <c r="A37" t="inlineStr">
        <is>
          <t>Remaining Balance:</t>
        </is>
      </c>
      <c r="B37" s="3" t="n">
        <v>140240</v>
      </c>
    </row>
    <row r="38">
      <c r="A38" t="inlineStr">
        <is>
          <t>Monthly Payment:</t>
        </is>
      </c>
      <c r="B38" s="3" t="n">
        <v>14022.38</v>
      </c>
    </row>
    <row r="39">
      <c r="A39" t="inlineStr">
        <is>
          <t>Annual Rate:</t>
        </is>
      </c>
      <c r="B39" s="4" t="n">
        <v>0.038</v>
      </c>
    </row>
    <row r="40">
      <c r="A40" t="inlineStr">
        <is>
          <t>Loan Type:</t>
        </is>
      </c>
      <c r="B40" s="2" t="inlineStr">
        <is>
          <t>AMORTIZING</t>
        </is>
      </c>
    </row>
    <row r="41">
      <c r="A41" t="inlineStr">
        <is>
          <t>Use:</t>
        </is>
      </c>
      <c r="B41" s="2" t="inlineStr">
        <is>
          <t>Equipment (Trailers)</t>
        </is>
      </c>
    </row>
    <row r="43">
      <c r="A43" s="66" t="inlineStr">
        <is>
          <t>Month #</t>
        </is>
      </c>
      <c r="B43" s="66" t="inlineStr">
        <is>
          <t>Date</t>
        </is>
      </c>
      <c r="C43" s="66" t="inlineStr">
        <is>
          <t>Opening Balance</t>
        </is>
      </c>
      <c r="D43" s="66" t="inlineStr">
        <is>
          <t>Interest</t>
        </is>
      </c>
      <c r="E43" s="66" t="inlineStr">
        <is>
          <t>Principal</t>
        </is>
      </c>
      <c r="F43" s="66" t="inlineStr">
        <is>
          <t>Closing Balance</t>
        </is>
      </c>
    </row>
    <row r="44">
      <c r="A44" s="34" t="n">
        <v>1</v>
      </c>
      <c r="B44" s="34" t="inlineStr">
        <is>
          <t>2025-12-30</t>
        </is>
      </c>
      <c r="C44" s="40">
        <f>$B$37</f>
        <v/>
      </c>
      <c r="D44" s="40">
        <f>MAX(0,C44*$B$39/12)</f>
        <v/>
      </c>
      <c r="E44" s="40">
        <f>MAX(0,MIN(C44,$B$38-D44))</f>
        <v/>
      </c>
      <c r="F44" s="40">
        <f>MAX(0,C44-E44)</f>
        <v/>
      </c>
    </row>
    <row r="45">
      <c r="A45" s="34" t="n">
        <v>2</v>
      </c>
      <c r="B45" s="34" t="inlineStr">
        <is>
          <t>2026-01-30</t>
        </is>
      </c>
      <c r="C45" s="40">
        <f>F44</f>
        <v/>
      </c>
      <c r="D45" s="40">
        <f>MAX(0,C45*$B$39/12)</f>
        <v/>
      </c>
      <c r="E45" s="40">
        <f>MAX(0,MIN(C45,$B$38-D45))</f>
        <v/>
      </c>
      <c r="F45" s="40">
        <f>MAX(0,C45-E45)</f>
        <v/>
      </c>
    </row>
    <row r="46">
      <c r="A46" s="34" t="n">
        <v>3</v>
      </c>
      <c r="B46" s="34" t="inlineStr">
        <is>
          <t>2026-02-28</t>
        </is>
      </c>
      <c r="C46" s="40">
        <f>F45</f>
        <v/>
      </c>
      <c r="D46" s="40">
        <f>MAX(0,C46*$B$39/12)</f>
        <v/>
      </c>
      <c r="E46" s="40">
        <f>MAX(0,MIN(C46,$B$38-D46))</f>
        <v/>
      </c>
      <c r="F46" s="40">
        <f>MAX(0,C46-E46)</f>
        <v/>
      </c>
    </row>
    <row r="47">
      <c r="A47" s="34" t="n">
        <v>4</v>
      </c>
      <c r="B47" s="34" t="inlineStr">
        <is>
          <t>2026-03-30</t>
        </is>
      </c>
      <c r="C47" s="40">
        <f>F46</f>
        <v/>
      </c>
      <c r="D47" s="40">
        <f>MAX(0,C47*$B$39/12)</f>
        <v/>
      </c>
      <c r="E47" s="40">
        <f>MAX(0,MIN(C47,$B$38-D47))</f>
        <v/>
      </c>
      <c r="F47" s="40">
        <f>MAX(0,C47-E47)</f>
        <v/>
      </c>
    </row>
    <row r="48">
      <c r="A48" s="34" t="n">
        <v>5</v>
      </c>
      <c r="B48" s="34" t="inlineStr">
        <is>
          <t>2026-04-30</t>
        </is>
      </c>
      <c r="C48" s="40">
        <f>F47</f>
        <v/>
      </c>
      <c r="D48" s="40">
        <f>MAX(0,C48*$B$39/12)</f>
        <v/>
      </c>
      <c r="E48" s="40">
        <f>MAX(0,MIN(C48,$B$38-D48))</f>
        <v/>
      </c>
      <c r="F48" s="40">
        <f>MAX(0,C48-E48)</f>
        <v/>
      </c>
    </row>
    <row r="49">
      <c r="A49" s="34" t="n">
        <v>6</v>
      </c>
      <c r="B49" s="34" t="inlineStr">
        <is>
          <t>2026-05-30</t>
        </is>
      </c>
      <c r="C49" s="40">
        <f>F48</f>
        <v/>
      </c>
      <c r="D49" s="40">
        <f>MAX(0,C49*$B$39/12)</f>
        <v/>
      </c>
      <c r="E49" s="40">
        <f>MAX(0,MIN(C49,$B$38-D49))</f>
        <v/>
      </c>
      <c r="F49" s="40">
        <f>MAX(0,C49-E49)</f>
        <v/>
      </c>
    </row>
    <row r="50">
      <c r="A50" s="34" t="n">
        <v>7</v>
      </c>
      <c r="B50" s="34" t="inlineStr">
        <is>
          <t>2026-06-30</t>
        </is>
      </c>
      <c r="C50" s="40">
        <f>F49</f>
        <v/>
      </c>
      <c r="D50" s="40">
        <f>MAX(0,C50*$B$39/12)</f>
        <v/>
      </c>
      <c r="E50" s="40">
        <f>MAX(0,MIN(C50,$B$38-D50))</f>
        <v/>
      </c>
      <c r="F50" s="40">
        <f>MAX(0,C50-E50)</f>
        <v/>
      </c>
    </row>
    <row r="51">
      <c r="A51" s="34" t="n">
        <v>8</v>
      </c>
      <c r="B51" s="34" t="inlineStr">
        <is>
          <t>2026-07-30</t>
        </is>
      </c>
      <c r="C51" s="40">
        <f>F50</f>
        <v/>
      </c>
      <c r="D51" s="40">
        <f>MAX(0,C51*$B$39/12)</f>
        <v/>
      </c>
      <c r="E51" s="40">
        <f>MAX(0,MIN(C51,$B$38-D51))</f>
        <v/>
      </c>
      <c r="F51" s="40">
        <f>MAX(0,C51-E51)</f>
        <v/>
      </c>
    </row>
    <row r="52">
      <c r="A52" s="34" t="n">
        <v>9</v>
      </c>
      <c r="B52" s="34" t="inlineStr">
        <is>
          <t>2026-08-30</t>
        </is>
      </c>
      <c r="C52" s="40">
        <f>F51</f>
        <v/>
      </c>
      <c r="D52" s="40">
        <f>MAX(0,C52*$B$39/12)</f>
        <v/>
      </c>
      <c r="E52" s="40">
        <f>MAX(0,MIN(C52,$B$38-D52))</f>
        <v/>
      </c>
      <c r="F52" s="40">
        <f>MAX(0,C52-E52)</f>
        <v/>
      </c>
    </row>
    <row r="53">
      <c r="A53" s="34" t="n">
        <v>10</v>
      </c>
      <c r="B53" s="34" t="inlineStr">
        <is>
          <t>2026-09-30</t>
        </is>
      </c>
      <c r="C53" s="40">
        <f>F52</f>
        <v/>
      </c>
      <c r="D53" s="40">
        <f>MAX(0,C53*$B$39/12)</f>
        <v/>
      </c>
      <c r="E53" s="40">
        <f>MAX(0,MIN(C53,$B$38-D53))</f>
        <v/>
      </c>
      <c r="F53" s="40">
        <f>MAX(0,C53-E53)</f>
        <v/>
      </c>
    </row>
    <row r="54">
      <c r="A54" s="62" t="inlineStr">
        <is>
          <t>TOTAL</t>
        </is>
      </c>
      <c r="B54" s="63" t="n"/>
      <c r="C54" s="63" t="n"/>
      <c r="D54" s="64">
        <f>SUM(D44:D53)</f>
        <v/>
      </c>
      <c r="E54" s="64">
        <f>SUM(E44:E53)</f>
        <v/>
      </c>
      <c r="F54" s="63" t="n"/>
    </row>
    <row r="57">
      <c r="A57" s="69" t="inlineStr">
        <is>
          <t>LOAN 2: 27 Trailers (2019)</t>
        </is>
      </c>
    </row>
    <row r="58">
      <c r="A58" t="inlineStr">
        <is>
          <t>Loan ID:</t>
        </is>
      </c>
      <c r="B58" s="2" t="inlineStr">
        <is>
          <t>05-2948-000-000-00</t>
        </is>
      </c>
    </row>
    <row r="59">
      <c r="A59" t="inlineStr">
        <is>
          <t>Account #:</t>
        </is>
      </c>
      <c r="B59" s="2" t="inlineStr">
        <is>
          <t>9310002001</t>
        </is>
      </c>
    </row>
    <row r="60">
      <c r="A60" t="inlineStr">
        <is>
          <t>Origination Date:</t>
        </is>
      </c>
      <c r="B60" s="2" t="inlineStr">
        <is>
          <t>2019-10-01</t>
        </is>
      </c>
    </row>
    <row r="61">
      <c r="A61" t="inlineStr">
        <is>
          <t>Maturity Date:</t>
        </is>
      </c>
      <c r="B61" s="2" t="inlineStr">
        <is>
          <t>2027-01-01</t>
        </is>
      </c>
    </row>
    <row r="62">
      <c r="A62" t="inlineStr">
        <is>
          <t>Original Balance:</t>
        </is>
      </c>
      <c r="B62" s="3" t="n">
        <v>1066160</v>
      </c>
    </row>
    <row r="63">
      <c r="A63" t="inlineStr">
        <is>
          <t>Remaining Balance:</t>
        </is>
      </c>
      <c r="B63" s="3" t="n">
        <v>208419</v>
      </c>
    </row>
    <row r="64">
      <c r="A64" t="inlineStr">
        <is>
          <t>Monthly Payment:</t>
        </is>
      </c>
      <c r="B64" s="3" t="n">
        <v>14430.53</v>
      </c>
    </row>
    <row r="65">
      <c r="A65" t="inlineStr">
        <is>
          <t>Annual Rate:</t>
        </is>
      </c>
      <c r="B65" s="4" t="n">
        <v>0.037</v>
      </c>
    </row>
    <row r="66">
      <c r="A66" t="inlineStr">
        <is>
          <t>Loan Type:</t>
        </is>
      </c>
      <c r="B66" s="2" t="inlineStr">
        <is>
          <t>AMORTIZING</t>
        </is>
      </c>
    </row>
    <row r="67">
      <c r="A67" t="inlineStr">
        <is>
          <t>Use:</t>
        </is>
      </c>
      <c r="B67" s="2" t="inlineStr">
        <is>
          <t>Equipment (Trailers)</t>
        </is>
      </c>
    </row>
    <row r="69">
      <c r="A69" s="66" t="inlineStr">
        <is>
          <t>Month #</t>
        </is>
      </c>
      <c r="B69" s="66" t="inlineStr">
        <is>
          <t>Date</t>
        </is>
      </c>
      <c r="C69" s="66" t="inlineStr">
        <is>
          <t>Opening Balance</t>
        </is>
      </c>
      <c r="D69" s="66" t="inlineStr">
        <is>
          <t>Interest</t>
        </is>
      </c>
      <c r="E69" s="66" t="inlineStr">
        <is>
          <t>Principal</t>
        </is>
      </c>
      <c r="F69" s="66" t="inlineStr">
        <is>
          <t>Closing Balance</t>
        </is>
      </c>
    </row>
    <row r="70">
      <c r="A70" s="34" t="n">
        <v>1</v>
      </c>
      <c r="B70" s="34" t="inlineStr">
        <is>
          <t>2025-12-30</t>
        </is>
      </c>
      <c r="C70" s="40">
        <f>$B$63</f>
        <v/>
      </c>
      <c r="D70" s="40">
        <f>MAX(0,C70*$B$65/12)</f>
        <v/>
      </c>
      <c r="E70" s="40">
        <f>MAX(0,MIN(C70,$B$64-D70))</f>
        <v/>
      </c>
      <c r="F70" s="40">
        <f>MAX(0,C70-E70)</f>
        <v/>
      </c>
    </row>
    <row r="71">
      <c r="A71" s="34" t="n">
        <v>2</v>
      </c>
      <c r="B71" s="34" t="inlineStr">
        <is>
          <t>2026-01-30</t>
        </is>
      </c>
      <c r="C71" s="40">
        <f>F70</f>
        <v/>
      </c>
      <c r="D71" s="40">
        <f>MAX(0,C71*$B$65/12)</f>
        <v/>
      </c>
      <c r="E71" s="40">
        <f>MAX(0,MIN(C71,$B$64-D71))</f>
        <v/>
      </c>
      <c r="F71" s="40">
        <f>MAX(0,C71-E71)</f>
        <v/>
      </c>
    </row>
    <row r="72">
      <c r="A72" s="34" t="n">
        <v>3</v>
      </c>
      <c r="B72" s="34" t="inlineStr">
        <is>
          <t>2026-02-28</t>
        </is>
      </c>
      <c r="C72" s="40">
        <f>F71</f>
        <v/>
      </c>
      <c r="D72" s="40">
        <f>MAX(0,C72*$B$65/12)</f>
        <v/>
      </c>
      <c r="E72" s="40">
        <f>MAX(0,MIN(C72,$B$64-D72))</f>
        <v/>
      </c>
      <c r="F72" s="40">
        <f>MAX(0,C72-E72)</f>
        <v/>
      </c>
    </row>
    <row r="73">
      <c r="A73" s="34" t="n">
        <v>4</v>
      </c>
      <c r="B73" s="34" t="inlineStr">
        <is>
          <t>2026-03-30</t>
        </is>
      </c>
      <c r="C73" s="40">
        <f>F72</f>
        <v/>
      </c>
      <c r="D73" s="40">
        <f>MAX(0,C73*$B$65/12)</f>
        <v/>
      </c>
      <c r="E73" s="40">
        <f>MAX(0,MIN(C73,$B$64-D73))</f>
        <v/>
      </c>
      <c r="F73" s="40">
        <f>MAX(0,C73-E73)</f>
        <v/>
      </c>
    </row>
    <row r="74">
      <c r="A74" s="34" t="n">
        <v>5</v>
      </c>
      <c r="B74" s="34" t="inlineStr">
        <is>
          <t>2026-04-30</t>
        </is>
      </c>
      <c r="C74" s="40">
        <f>F73</f>
        <v/>
      </c>
      <c r="D74" s="40">
        <f>MAX(0,C74*$B$65/12)</f>
        <v/>
      </c>
      <c r="E74" s="40">
        <f>MAX(0,MIN(C74,$B$64-D74))</f>
        <v/>
      </c>
      <c r="F74" s="40">
        <f>MAX(0,C74-E74)</f>
        <v/>
      </c>
    </row>
    <row r="75">
      <c r="A75" s="34" t="n">
        <v>6</v>
      </c>
      <c r="B75" s="34" t="inlineStr">
        <is>
          <t>2026-05-30</t>
        </is>
      </c>
      <c r="C75" s="40">
        <f>F74</f>
        <v/>
      </c>
      <c r="D75" s="40">
        <f>MAX(0,C75*$B$65/12)</f>
        <v/>
      </c>
      <c r="E75" s="40">
        <f>MAX(0,MIN(C75,$B$64-D75))</f>
        <v/>
      </c>
      <c r="F75" s="40">
        <f>MAX(0,C75-E75)</f>
        <v/>
      </c>
    </row>
    <row r="76">
      <c r="A76" s="34" t="n">
        <v>7</v>
      </c>
      <c r="B76" s="34" t="inlineStr">
        <is>
          <t>2026-06-30</t>
        </is>
      </c>
      <c r="C76" s="40">
        <f>F75</f>
        <v/>
      </c>
      <c r="D76" s="40">
        <f>MAX(0,C76*$B$65/12)</f>
        <v/>
      </c>
      <c r="E76" s="40">
        <f>MAX(0,MIN(C76,$B$64-D76))</f>
        <v/>
      </c>
      <c r="F76" s="40">
        <f>MAX(0,C76-E76)</f>
        <v/>
      </c>
    </row>
    <row r="77">
      <c r="A77" s="34" t="n">
        <v>8</v>
      </c>
      <c r="B77" s="34" t="inlineStr">
        <is>
          <t>2026-07-30</t>
        </is>
      </c>
      <c r="C77" s="40">
        <f>F76</f>
        <v/>
      </c>
      <c r="D77" s="40">
        <f>MAX(0,C77*$B$65/12)</f>
        <v/>
      </c>
      <c r="E77" s="40">
        <f>MAX(0,MIN(C77,$B$64-D77))</f>
        <v/>
      </c>
      <c r="F77" s="40">
        <f>MAX(0,C77-E77)</f>
        <v/>
      </c>
    </row>
    <row r="78">
      <c r="A78" s="34" t="n">
        <v>9</v>
      </c>
      <c r="B78" s="34" t="inlineStr">
        <is>
          <t>2026-08-30</t>
        </is>
      </c>
      <c r="C78" s="40">
        <f>F77</f>
        <v/>
      </c>
      <c r="D78" s="40">
        <f>MAX(0,C78*$B$65/12)</f>
        <v/>
      </c>
      <c r="E78" s="40">
        <f>MAX(0,MIN(C78,$B$64-D78))</f>
        <v/>
      </c>
      <c r="F78" s="40">
        <f>MAX(0,C78-E78)</f>
        <v/>
      </c>
    </row>
    <row r="79">
      <c r="A79" s="34" t="n">
        <v>10</v>
      </c>
      <c r="B79" s="34" t="inlineStr">
        <is>
          <t>2026-09-30</t>
        </is>
      </c>
      <c r="C79" s="40">
        <f>F78</f>
        <v/>
      </c>
      <c r="D79" s="40">
        <f>MAX(0,C79*$B$65/12)</f>
        <v/>
      </c>
      <c r="E79" s="40">
        <f>MAX(0,MIN(C79,$B$64-D79))</f>
        <v/>
      </c>
      <c r="F79" s="40">
        <f>MAX(0,C79-E79)</f>
        <v/>
      </c>
    </row>
    <row r="80">
      <c r="A80" s="34" t="n">
        <v>11</v>
      </c>
      <c r="B80" s="34" t="inlineStr">
        <is>
          <t>2026-10-30</t>
        </is>
      </c>
      <c r="C80" s="40">
        <f>F79</f>
        <v/>
      </c>
      <c r="D80" s="40">
        <f>MAX(0,C80*$B$65/12)</f>
        <v/>
      </c>
      <c r="E80" s="40">
        <f>MAX(0,MIN(C80,$B$64-D80))</f>
        <v/>
      </c>
      <c r="F80" s="40">
        <f>MAX(0,C80-E80)</f>
        <v/>
      </c>
    </row>
    <row r="81">
      <c r="A81" s="34" t="n">
        <v>12</v>
      </c>
      <c r="B81" s="34" t="inlineStr">
        <is>
          <t>2026-11-30</t>
        </is>
      </c>
      <c r="C81" s="40">
        <f>F80</f>
        <v/>
      </c>
      <c r="D81" s="40">
        <f>MAX(0,C81*$B$65/12)</f>
        <v/>
      </c>
      <c r="E81" s="40">
        <f>MAX(0,MIN(C81,$B$64-D81))</f>
        <v/>
      </c>
      <c r="F81" s="40">
        <f>MAX(0,C81-E81)</f>
        <v/>
      </c>
    </row>
    <row r="82">
      <c r="A82" s="34" t="n">
        <v>13</v>
      </c>
      <c r="B82" s="34" t="inlineStr">
        <is>
          <t>2026-12-30</t>
        </is>
      </c>
      <c r="C82" s="40">
        <f>F81</f>
        <v/>
      </c>
      <c r="D82" s="40">
        <f>MAX(0,C82*$B$65/12)</f>
        <v/>
      </c>
      <c r="E82" s="40">
        <f>MAX(0,MIN(C82,$B$64-D82))</f>
        <v/>
      </c>
      <c r="F82" s="40">
        <f>MAX(0,C82-E82)</f>
        <v/>
      </c>
    </row>
    <row r="83">
      <c r="A83" s="34" t="n">
        <v>14</v>
      </c>
      <c r="B83" s="34" t="inlineStr">
        <is>
          <t>2027-01-30</t>
        </is>
      </c>
      <c r="C83" s="40">
        <f>F82</f>
        <v/>
      </c>
      <c r="D83" s="40">
        <f>MAX(0,C83*$B$65/12)</f>
        <v/>
      </c>
      <c r="E83" s="40">
        <f>MAX(0,MIN(C83,$B$64-D83))</f>
        <v/>
      </c>
      <c r="F83" s="40">
        <f>MAX(0,C83-E83)</f>
        <v/>
      </c>
    </row>
    <row r="84">
      <c r="A84" s="62" t="inlineStr">
        <is>
          <t>TOTAL</t>
        </is>
      </c>
      <c r="B84" s="63" t="n"/>
      <c r="C84" s="63" t="n"/>
      <c r="D84" s="64">
        <f>SUM(D70:D83)</f>
        <v/>
      </c>
      <c r="E84" s="64">
        <f>SUM(E70:E83)</f>
        <v/>
      </c>
      <c r="F84" s="63" t="n"/>
    </row>
    <row r="87">
      <c r="A87" s="69" t="inlineStr">
        <is>
          <t>LOAN 3: 25 Trailers (Sept 2020)</t>
        </is>
      </c>
    </row>
    <row r="88">
      <c r="A88" t="inlineStr">
        <is>
          <t>Loan ID:</t>
        </is>
      </c>
      <c r="B88" s="2" t="inlineStr">
        <is>
          <t>05-2929-000-000-00</t>
        </is>
      </c>
    </row>
    <row r="89">
      <c r="A89" t="inlineStr">
        <is>
          <t>Account #:</t>
        </is>
      </c>
      <c r="B89" s="2" t="inlineStr">
        <is>
          <t>9326429001</t>
        </is>
      </c>
    </row>
    <row r="90">
      <c r="A90" t="inlineStr">
        <is>
          <t>Origination Date:</t>
        </is>
      </c>
      <c r="B90" s="2" t="inlineStr">
        <is>
          <t>2020-09-03</t>
        </is>
      </c>
    </row>
    <row r="91">
      <c r="A91" t="inlineStr">
        <is>
          <t>Maturity Date:</t>
        </is>
      </c>
      <c r="B91" s="2" t="inlineStr">
        <is>
          <t>2027-09-03</t>
        </is>
      </c>
    </row>
    <row r="92">
      <c r="A92" t="inlineStr">
        <is>
          <t>Original Balance:</t>
        </is>
      </c>
      <c r="B92" s="3" t="n">
        <v>956375</v>
      </c>
    </row>
    <row r="93">
      <c r="A93" t="inlineStr">
        <is>
          <t>Remaining Balance:</t>
        </is>
      </c>
      <c r="B93" s="3" t="n">
        <v>274894</v>
      </c>
    </row>
    <row r="94">
      <c r="A94" t="inlineStr">
        <is>
          <t>Monthly Payment:</t>
        </is>
      </c>
      <c r="B94" s="3" t="n">
        <v>12945.01</v>
      </c>
    </row>
    <row r="95">
      <c r="A95" t="inlineStr">
        <is>
          <t>Annual Rate:</t>
        </is>
      </c>
      <c r="B95" s="4" t="n">
        <v>0.037</v>
      </c>
    </row>
    <row r="96">
      <c r="A96" t="inlineStr">
        <is>
          <t>Loan Type:</t>
        </is>
      </c>
      <c r="B96" s="2" t="inlineStr">
        <is>
          <t>AMORTIZING</t>
        </is>
      </c>
    </row>
    <row r="97">
      <c r="A97" t="inlineStr">
        <is>
          <t>Use:</t>
        </is>
      </c>
      <c r="B97" s="2" t="inlineStr">
        <is>
          <t>Equipment (Trailers)</t>
        </is>
      </c>
    </row>
    <row r="99">
      <c r="A99" s="66" t="inlineStr">
        <is>
          <t>Month #</t>
        </is>
      </c>
      <c r="B99" s="66" t="inlineStr">
        <is>
          <t>Date</t>
        </is>
      </c>
      <c r="C99" s="66" t="inlineStr">
        <is>
          <t>Opening Balance</t>
        </is>
      </c>
      <c r="D99" s="66" t="inlineStr">
        <is>
          <t>Interest</t>
        </is>
      </c>
      <c r="E99" s="66" t="inlineStr">
        <is>
          <t>Principal</t>
        </is>
      </c>
      <c r="F99" s="66" t="inlineStr">
        <is>
          <t>Closing Balance</t>
        </is>
      </c>
    </row>
    <row r="100">
      <c r="A100" s="34" t="n">
        <v>1</v>
      </c>
      <c r="B100" s="34" t="inlineStr">
        <is>
          <t>2025-12-30</t>
        </is>
      </c>
      <c r="C100" s="40">
        <f>$B$93</f>
        <v/>
      </c>
      <c r="D100" s="40">
        <f>MAX(0,C100*$B$95/12)</f>
        <v/>
      </c>
      <c r="E100" s="40">
        <f>MAX(0,MIN(C100,$B$94-D100))</f>
        <v/>
      </c>
      <c r="F100" s="40">
        <f>MAX(0,C100-E100)</f>
        <v/>
      </c>
    </row>
    <row r="101">
      <c r="A101" s="34" t="n">
        <v>2</v>
      </c>
      <c r="B101" s="34" t="inlineStr">
        <is>
          <t>2026-01-30</t>
        </is>
      </c>
      <c r="C101" s="40">
        <f>F100</f>
        <v/>
      </c>
      <c r="D101" s="40">
        <f>MAX(0,C101*$B$95/12)</f>
        <v/>
      </c>
      <c r="E101" s="40">
        <f>MAX(0,MIN(C101,$B$94-D101))</f>
        <v/>
      </c>
      <c r="F101" s="40">
        <f>MAX(0,C101-E101)</f>
        <v/>
      </c>
    </row>
    <row r="102">
      <c r="A102" s="34" t="n">
        <v>3</v>
      </c>
      <c r="B102" s="34" t="inlineStr">
        <is>
          <t>2026-02-28</t>
        </is>
      </c>
      <c r="C102" s="40">
        <f>F101</f>
        <v/>
      </c>
      <c r="D102" s="40">
        <f>MAX(0,C102*$B$95/12)</f>
        <v/>
      </c>
      <c r="E102" s="40">
        <f>MAX(0,MIN(C102,$B$94-D102))</f>
        <v/>
      </c>
      <c r="F102" s="40">
        <f>MAX(0,C102-E102)</f>
        <v/>
      </c>
    </row>
    <row r="103">
      <c r="A103" s="34" t="n">
        <v>4</v>
      </c>
      <c r="B103" s="34" t="inlineStr">
        <is>
          <t>2026-03-30</t>
        </is>
      </c>
      <c r="C103" s="40">
        <f>F102</f>
        <v/>
      </c>
      <c r="D103" s="40">
        <f>MAX(0,C103*$B$95/12)</f>
        <v/>
      </c>
      <c r="E103" s="40">
        <f>MAX(0,MIN(C103,$B$94-D103))</f>
        <v/>
      </c>
      <c r="F103" s="40">
        <f>MAX(0,C103-E103)</f>
        <v/>
      </c>
    </row>
    <row r="104">
      <c r="A104" s="34" t="n">
        <v>5</v>
      </c>
      <c r="B104" s="34" t="inlineStr">
        <is>
          <t>2026-04-30</t>
        </is>
      </c>
      <c r="C104" s="40">
        <f>F103</f>
        <v/>
      </c>
      <c r="D104" s="40">
        <f>MAX(0,C104*$B$95/12)</f>
        <v/>
      </c>
      <c r="E104" s="40">
        <f>MAX(0,MIN(C104,$B$94-D104))</f>
        <v/>
      </c>
      <c r="F104" s="40">
        <f>MAX(0,C104-E104)</f>
        <v/>
      </c>
    </row>
    <row r="105">
      <c r="A105" s="34" t="n">
        <v>6</v>
      </c>
      <c r="B105" s="34" t="inlineStr">
        <is>
          <t>2026-05-30</t>
        </is>
      </c>
      <c r="C105" s="40">
        <f>F104</f>
        <v/>
      </c>
      <c r="D105" s="40">
        <f>MAX(0,C105*$B$95/12)</f>
        <v/>
      </c>
      <c r="E105" s="40">
        <f>MAX(0,MIN(C105,$B$94-D105))</f>
        <v/>
      </c>
      <c r="F105" s="40">
        <f>MAX(0,C105-E105)</f>
        <v/>
      </c>
    </row>
    <row r="106">
      <c r="A106" s="34" t="n">
        <v>7</v>
      </c>
      <c r="B106" s="34" t="inlineStr">
        <is>
          <t>2026-06-30</t>
        </is>
      </c>
      <c r="C106" s="40">
        <f>F105</f>
        <v/>
      </c>
      <c r="D106" s="40">
        <f>MAX(0,C106*$B$95/12)</f>
        <v/>
      </c>
      <c r="E106" s="40">
        <f>MAX(0,MIN(C106,$B$94-D106))</f>
        <v/>
      </c>
      <c r="F106" s="40">
        <f>MAX(0,C106-E106)</f>
        <v/>
      </c>
    </row>
    <row r="107">
      <c r="A107" s="34" t="n">
        <v>8</v>
      </c>
      <c r="B107" s="34" t="inlineStr">
        <is>
          <t>2026-07-30</t>
        </is>
      </c>
      <c r="C107" s="40">
        <f>F106</f>
        <v/>
      </c>
      <c r="D107" s="40">
        <f>MAX(0,C107*$B$95/12)</f>
        <v/>
      </c>
      <c r="E107" s="40">
        <f>MAX(0,MIN(C107,$B$94-D107))</f>
        <v/>
      </c>
      <c r="F107" s="40">
        <f>MAX(0,C107-E107)</f>
        <v/>
      </c>
    </row>
    <row r="108">
      <c r="A108" s="34" t="n">
        <v>9</v>
      </c>
      <c r="B108" s="34" t="inlineStr">
        <is>
          <t>2026-08-30</t>
        </is>
      </c>
      <c r="C108" s="40">
        <f>F107</f>
        <v/>
      </c>
      <c r="D108" s="40">
        <f>MAX(0,C108*$B$95/12)</f>
        <v/>
      </c>
      <c r="E108" s="40">
        <f>MAX(0,MIN(C108,$B$94-D108))</f>
        <v/>
      </c>
      <c r="F108" s="40">
        <f>MAX(0,C108-E108)</f>
        <v/>
      </c>
    </row>
    <row r="109">
      <c r="A109" s="34" t="n">
        <v>10</v>
      </c>
      <c r="B109" s="34" t="inlineStr">
        <is>
          <t>2026-09-30</t>
        </is>
      </c>
      <c r="C109" s="40">
        <f>F108</f>
        <v/>
      </c>
      <c r="D109" s="40">
        <f>MAX(0,C109*$B$95/12)</f>
        <v/>
      </c>
      <c r="E109" s="40">
        <f>MAX(0,MIN(C109,$B$94-D109))</f>
        <v/>
      </c>
      <c r="F109" s="40">
        <f>MAX(0,C109-E109)</f>
        <v/>
      </c>
    </row>
    <row r="110">
      <c r="A110" s="34" t="n">
        <v>11</v>
      </c>
      <c r="B110" s="34" t="inlineStr">
        <is>
          <t>2026-10-30</t>
        </is>
      </c>
      <c r="C110" s="40">
        <f>F109</f>
        <v/>
      </c>
      <c r="D110" s="40">
        <f>MAX(0,C110*$B$95/12)</f>
        <v/>
      </c>
      <c r="E110" s="40">
        <f>MAX(0,MIN(C110,$B$94-D110))</f>
        <v/>
      </c>
      <c r="F110" s="40">
        <f>MAX(0,C110-E110)</f>
        <v/>
      </c>
    </row>
    <row r="111">
      <c r="A111" s="34" t="n">
        <v>12</v>
      </c>
      <c r="B111" s="34" t="inlineStr">
        <is>
          <t>2026-11-30</t>
        </is>
      </c>
      <c r="C111" s="40">
        <f>F110</f>
        <v/>
      </c>
      <c r="D111" s="40">
        <f>MAX(0,C111*$B$95/12)</f>
        <v/>
      </c>
      <c r="E111" s="40">
        <f>MAX(0,MIN(C111,$B$94-D111))</f>
        <v/>
      </c>
      <c r="F111" s="40">
        <f>MAX(0,C111-E111)</f>
        <v/>
      </c>
    </row>
    <row r="112">
      <c r="A112" s="34" t="n">
        <v>13</v>
      </c>
      <c r="B112" s="34" t="inlineStr">
        <is>
          <t>2026-12-30</t>
        </is>
      </c>
      <c r="C112" s="40">
        <f>F111</f>
        <v/>
      </c>
      <c r="D112" s="40">
        <f>MAX(0,C112*$B$95/12)</f>
        <v/>
      </c>
      <c r="E112" s="40">
        <f>MAX(0,MIN(C112,$B$94-D112))</f>
        <v/>
      </c>
      <c r="F112" s="40">
        <f>MAX(0,C112-E112)</f>
        <v/>
      </c>
    </row>
    <row r="113">
      <c r="A113" s="34" t="n">
        <v>14</v>
      </c>
      <c r="B113" s="34" t="inlineStr">
        <is>
          <t>2027-01-30</t>
        </is>
      </c>
      <c r="C113" s="40">
        <f>F112</f>
        <v/>
      </c>
      <c r="D113" s="40">
        <f>MAX(0,C113*$B$95/12)</f>
        <v/>
      </c>
      <c r="E113" s="40">
        <f>MAX(0,MIN(C113,$B$94-D113))</f>
        <v/>
      </c>
      <c r="F113" s="40">
        <f>MAX(0,C113-E113)</f>
        <v/>
      </c>
    </row>
    <row r="114">
      <c r="A114" s="34" t="n">
        <v>15</v>
      </c>
      <c r="B114" s="34" t="inlineStr">
        <is>
          <t>2027-02-28</t>
        </is>
      </c>
      <c r="C114" s="40">
        <f>F113</f>
        <v/>
      </c>
      <c r="D114" s="40">
        <f>MAX(0,C114*$B$95/12)</f>
        <v/>
      </c>
      <c r="E114" s="40">
        <f>MAX(0,MIN(C114,$B$94-D114))</f>
        <v/>
      </c>
      <c r="F114" s="40">
        <f>MAX(0,C114-E114)</f>
        <v/>
      </c>
    </row>
    <row r="115">
      <c r="A115" s="34" t="n">
        <v>16</v>
      </c>
      <c r="B115" s="34" t="inlineStr">
        <is>
          <t>2027-03-30</t>
        </is>
      </c>
      <c r="C115" s="40">
        <f>F114</f>
        <v/>
      </c>
      <c r="D115" s="40">
        <f>MAX(0,C115*$B$95/12)</f>
        <v/>
      </c>
      <c r="E115" s="40">
        <f>MAX(0,MIN(C115,$B$94-D115))</f>
        <v/>
      </c>
      <c r="F115" s="40">
        <f>MAX(0,C115-E115)</f>
        <v/>
      </c>
    </row>
    <row r="116">
      <c r="A116" s="34" t="n">
        <v>17</v>
      </c>
      <c r="B116" s="34" t="inlineStr">
        <is>
          <t>2027-04-30</t>
        </is>
      </c>
      <c r="C116" s="40">
        <f>F115</f>
        <v/>
      </c>
      <c r="D116" s="40">
        <f>MAX(0,C116*$B$95/12)</f>
        <v/>
      </c>
      <c r="E116" s="40">
        <f>MAX(0,MIN(C116,$B$94-D116))</f>
        <v/>
      </c>
      <c r="F116" s="40">
        <f>MAX(0,C116-E116)</f>
        <v/>
      </c>
    </row>
    <row r="117">
      <c r="A117" s="34" t="n">
        <v>18</v>
      </c>
      <c r="B117" s="34" t="inlineStr">
        <is>
          <t>2027-05-30</t>
        </is>
      </c>
      <c r="C117" s="40">
        <f>F116</f>
        <v/>
      </c>
      <c r="D117" s="40">
        <f>MAX(0,C117*$B$95/12)</f>
        <v/>
      </c>
      <c r="E117" s="40">
        <f>MAX(0,MIN(C117,$B$94-D117))</f>
        <v/>
      </c>
      <c r="F117" s="40">
        <f>MAX(0,C117-E117)</f>
        <v/>
      </c>
    </row>
    <row r="118">
      <c r="A118" s="34" t="n">
        <v>19</v>
      </c>
      <c r="B118" s="34" t="inlineStr">
        <is>
          <t>2027-06-30</t>
        </is>
      </c>
      <c r="C118" s="40">
        <f>F117</f>
        <v/>
      </c>
      <c r="D118" s="40">
        <f>MAX(0,C118*$B$95/12)</f>
        <v/>
      </c>
      <c r="E118" s="40">
        <f>MAX(0,MIN(C118,$B$94-D118))</f>
        <v/>
      </c>
      <c r="F118" s="40">
        <f>MAX(0,C118-E118)</f>
        <v/>
      </c>
    </row>
    <row r="119">
      <c r="A119" s="34" t="n">
        <v>20</v>
      </c>
      <c r="B119" s="34" t="inlineStr">
        <is>
          <t>2027-07-30</t>
        </is>
      </c>
      <c r="C119" s="40">
        <f>F118</f>
        <v/>
      </c>
      <c r="D119" s="40">
        <f>MAX(0,C119*$B$95/12)</f>
        <v/>
      </c>
      <c r="E119" s="40">
        <f>MAX(0,MIN(C119,$B$94-D119))</f>
        <v/>
      </c>
      <c r="F119" s="40">
        <f>MAX(0,C119-E119)</f>
        <v/>
      </c>
    </row>
    <row r="120">
      <c r="A120" s="34" t="n">
        <v>21</v>
      </c>
      <c r="B120" s="34" t="inlineStr">
        <is>
          <t>2027-08-30</t>
        </is>
      </c>
      <c r="C120" s="40">
        <f>F119</f>
        <v/>
      </c>
      <c r="D120" s="40">
        <f>MAX(0,C120*$B$95/12)</f>
        <v/>
      </c>
      <c r="E120" s="40">
        <f>MAX(0,MIN(C120,$B$94-D120))</f>
        <v/>
      </c>
      <c r="F120" s="40">
        <f>MAX(0,C120-E120)</f>
        <v/>
      </c>
    </row>
    <row r="121">
      <c r="A121" s="34" t="n">
        <v>22</v>
      </c>
      <c r="B121" s="34" t="inlineStr">
        <is>
          <t>2027-09-30</t>
        </is>
      </c>
      <c r="C121" s="40">
        <f>F120</f>
        <v/>
      </c>
      <c r="D121" s="40">
        <f>MAX(0,C121*$B$95/12)</f>
        <v/>
      </c>
      <c r="E121" s="40">
        <f>MAX(0,MIN(C121,$B$94-D121))</f>
        <v/>
      </c>
      <c r="F121" s="40">
        <f>MAX(0,C121-E121)</f>
        <v/>
      </c>
    </row>
    <row r="122">
      <c r="A122" s="62" t="inlineStr">
        <is>
          <t>TOTAL</t>
        </is>
      </c>
      <c r="B122" s="63" t="n"/>
      <c r="C122" s="63" t="n"/>
      <c r="D122" s="64">
        <f>SUM(D100:D121)</f>
        <v/>
      </c>
      <c r="E122" s="64">
        <f>SUM(E100:E121)</f>
        <v/>
      </c>
      <c r="F122" s="63" t="n"/>
    </row>
    <row r="125">
      <c r="A125" s="69" t="inlineStr">
        <is>
          <t>LOAN 4: 2 T680 Sleepers (July 2022)</t>
        </is>
      </c>
    </row>
    <row r="126">
      <c r="A126" t="inlineStr">
        <is>
          <t>Loan ID:</t>
        </is>
      </c>
      <c r="B126" s="2" t="inlineStr">
        <is>
          <t>05-2934-002-000-00</t>
        </is>
      </c>
    </row>
    <row r="127">
      <c r="A127" t="inlineStr">
        <is>
          <t>Account #:</t>
        </is>
      </c>
      <c r="B127" s="2" t="inlineStr">
        <is>
          <t>9359467001</t>
        </is>
      </c>
    </row>
    <row r="128">
      <c r="A128" t="inlineStr">
        <is>
          <t>Origination Date:</t>
        </is>
      </c>
      <c r="B128" s="2" t="inlineStr">
        <is>
          <t>2022-07-29</t>
        </is>
      </c>
    </row>
    <row r="129">
      <c r="A129" t="inlineStr">
        <is>
          <t>Maturity Date:</t>
        </is>
      </c>
      <c r="B129" s="2" t="inlineStr">
        <is>
          <t>2028-02-01</t>
        </is>
      </c>
    </row>
    <row r="130">
      <c r="A130" t="inlineStr">
        <is>
          <t>Original Balance:</t>
        </is>
      </c>
      <c r="B130" s="3" t="n">
        <v>317570</v>
      </c>
    </row>
    <row r="131">
      <c r="A131" t="inlineStr">
        <is>
          <t>Remaining Balance:</t>
        </is>
      </c>
      <c r="B131" s="3" t="n">
        <v>139720</v>
      </c>
    </row>
    <row r="132">
      <c r="A132" t="inlineStr">
        <is>
          <t>Monthly Payment:</t>
        </is>
      </c>
      <c r="B132" s="3" t="n">
        <v>5439.99</v>
      </c>
    </row>
    <row r="133">
      <c r="A133" t="inlineStr">
        <is>
          <t>Annual Rate:</t>
        </is>
      </c>
      <c r="B133" s="4" t="n">
        <v>0.0445</v>
      </c>
    </row>
    <row r="134">
      <c r="A134" t="inlineStr">
        <is>
          <t>Loan Type:</t>
        </is>
      </c>
      <c r="B134" s="2" t="inlineStr">
        <is>
          <t>AMORTIZING</t>
        </is>
      </c>
    </row>
    <row r="135">
      <c r="A135" t="inlineStr">
        <is>
          <t>Use:</t>
        </is>
      </c>
      <c r="B135" s="2" t="inlineStr">
        <is>
          <t>Equipment (Semi trucks)</t>
        </is>
      </c>
    </row>
    <row r="137">
      <c r="A137" s="66" t="inlineStr">
        <is>
          <t>Month #</t>
        </is>
      </c>
      <c r="B137" s="66" t="inlineStr">
        <is>
          <t>Date</t>
        </is>
      </c>
      <c r="C137" s="66" t="inlineStr">
        <is>
          <t>Opening Balance</t>
        </is>
      </c>
      <c r="D137" s="66" t="inlineStr">
        <is>
          <t>Interest</t>
        </is>
      </c>
      <c r="E137" s="66" t="inlineStr">
        <is>
          <t>Principal</t>
        </is>
      </c>
      <c r="F137" s="66" t="inlineStr">
        <is>
          <t>Closing Balance</t>
        </is>
      </c>
    </row>
    <row r="138">
      <c r="A138" s="34" t="n">
        <v>1</v>
      </c>
      <c r="B138" s="34" t="inlineStr">
        <is>
          <t>2025-12-30</t>
        </is>
      </c>
      <c r="C138" s="40">
        <f>$B$131</f>
        <v/>
      </c>
      <c r="D138" s="40">
        <f>MAX(0,C138*$B$133/12)</f>
        <v/>
      </c>
      <c r="E138" s="40">
        <f>MAX(0,MIN(C138,$B$132-D138))</f>
        <v/>
      </c>
      <c r="F138" s="40">
        <f>MAX(0,C138-E138)</f>
        <v/>
      </c>
    </row>
    <row r="139">
      <c r="A139" s="34" t="n">
        <v>2</v>
      </c>
      <c r="B139" s="34" t="inlineStr">
        <is>
          <t>2026-01-30</t>
        </is>
      </c>
      <c r="C139" s="40">
        <f>F138</f>
        <v/>
      </c>
      <c r="D139" s="40">
        <f>MAX(0,C139*$B$133/12)</f>
        <v/>
      </c>
      <c r="E139" s="40">
        <f>MAX(0,MIN(C139,$B$132-D139))</f>
        <v/>
      </c>
      <c r="F139" s="40">
        <f>MAX(0,C139-E139)</f>
        <v/>
      </c>
    </row>
    <row r="140">
      <c r="A140" s="34" t="n">
        <v>3</v>
      </c>
      <c r="B140" s="34" t="inlineStr">
        <is>
          <t>2026-02-28</t>
        </is>
      </c>
      <c r="C140" s="40">
        <f>F139</f>
        <v/>
      </c>
      <c r="D140" s="40">
        <f>MAX(0,C140*$B$133/12)</f>
        <v/>
      </c>
      <c r="E140" s="40">
        <f>MAX(0,MIN(C140,$B$132-D140))</f>
        <v/>
      </c>
      <c r="F140" s="40">
        <f>MAX(0,C140-E140)</f>
        <v/>
      </c>
    </row>
    <row r="141">
      <c r="A141" s="34" t="n">
        <v>4</v>
      </c>
      <c r="B141" s="34" t="inlineStr">
        <is>
          <t>2026-03-30</t>
        </is>
      </c>
      <c r="C141" s="40">
        <f>F140</f>
        <v/>
      </c>
      <c r="D141" s="40">
        <f>MAX(0,C141*$B$133/12)</f>
        <v/>
      </c>
      <c r="E141" s="40">
        <f>MAX(0,MIN(C141,$B$132-D141))</f>
        <v/>
      </c>
      <c r="F141" s="40">
        <f>MAX(0,C141-E141)</f>
        <v/>
      </c>
    </row>
    <row r="142">
      <c r="A142" s="34" t="n">
        <v>5</v>
      </c>
      <c r="B142" s="34" t="inlineStr">
        <is>
          <t>2026-04-30</t>
        </is>
      </c>
      <c r="C142" s="40">
        <f>F141</f>
        <v/>
      </c>
      <c r="D142" s="40">
        <f>MAX(0,C142*$B$133/12)</f>
        <v/>
      </c>
      <c r="E142" s="40">
        <f>MAX(0,MIN(C142,$B$132-D142))</f>
        <v/>
      </c>
      <c r="F142" s="40">
        <f>MAX(0,C142-E142)</f>
        <v/>
      </c>
    </row>
    <row r="143">
      <c r="A143" s="34" t="n">
        <v>6</v>
      </c>
      <c r="B143" s="34" t="inlineStr">
        <is>
          <t>2026-05-30</t>
        </is>
      </c>
      <c r="C143" s="40">
        <f>F142</f>
        <v/>
      </c>
      <c r="D143" s="40">
        <f>MAX(0,C143*$B$133/12)</f>
        <v/>
      </c>
      <c r="E143" s="40">
        <f>MAX(0,MIN(C143,$B$132-D143))</f>
        <v/>
      </c>
      <c r="F143" s="40">
        <f>MAX(0,C143-E143)</f>
        <v/>
      </c>
    </row>
    <row r="144">
      <c r="A144" s="34" t="n">
        <v>7</v>
      </c>
      <c r="B144" s="34" t="inlineStr">
        <is>
          <t>2026-06-30</t>
        </is>
      </c>
      <c r="C144" s="40">
        <f>F143</f>
        <v/>
      </c>
      <c r="D144" s="40">
        <f>MAX(0,C144*$B$133/12)</f>
        <v/>
      </c>
      <c r="E144" s="40">
        <f>MAX(0,MIN(C144,$B$132-D144))</f>
        <v/>
      </c>
      <c r="F144" s="40">
        <f>MAX(0,C144-E144)</f>
        <v/>
      </c>
    </row>
    <row r="145">
      <c r="A145" s="34" t="n">
        <v>8</v>
      </c>
      <c r="B145" s="34" t="inlineStr">
        <is>
          <t>2026-07-30</t>
        </is>
      </c>
      <c r="C145" s="40">
        <f>F144</f>
        <v/>
      </c>
      <c r="D145" s="40">
        <f>MAX(0,C145*$B$133/12)</f>
        <v/>
      </c>
      <c r="E145" s="40">
        <f>MAX(0,MIN(C145,$B$132-D145))</f>
        <v/>
      </c>
      <c r="F145" s="40">
        <f>MAX(0,C145-E145)</f>
        <v/>
      </c>
    </row>
    <row r="146">
      <c r="A146" s="34" t="n">
        <v>9</v>
      </c>
      <c r="B146" s="34" t="inlineStr">
        <is>
          <t>2026-08-30</t>
        </is>
      </c>
      <c r="C146" s="40">
        <f>F145</f>
        <v/>
      </c>
      <c r="D146" s="40">
        <f>MAX(0,C146*$B$133/12)</f>
        <v/>
      </c>
      <c r="E146" s="40">
        <f>MAX(0,MIN(C146,$B$132-D146))</f>
        <v/>
      </c>
      <c r="F146" s="40">
        <f>MAX(0,C146-E146)</f>
        <v/>
      </c>
    </row>
    <row r="147">
      <c r="A147" s="34" t="n">
        <v>10</v>
      </c>
      <c r="B147" s="34" t="inlineStr">
        <is>
          <t>2026-09-30</t>
        </is>
      </c>
      <c r="C147" s="40">
        <f>F146</f>
        <v/>
      </c>
      <c r="D147" s="40">
        <f>MAX(0,C147*$B$133/12)</f>
        <v/>
      </c>
      <c r="E147" s="40">
        <f>MAX(0,MIN(C147,$B$132-D147))</f>
        <v/>
      </c>
      <c r="F147" s="40">
        <f>MAX(0,C147-E147)</f>
        <v/>
      </c>
    </row>
    <row r="148">
      <c r="A148" s="34" t="n">
        <v>11</v>
      </c>
      <c r="B148" s="34" t="inlineStr">
        <is>
          <t>2026-10-30</t>
        </is>
      </c>
      <c r="C148" s="40">
        <f>F147</f>
        <v/>
      </c>
      <c r="D148" s="40">
        <f>MAX(0,C148*$B$133/12)</f>
        <v/>
      </c>
      <c r="E148" s="40">
        <f>MAX(0,MIN(C148,$B$132-D148))</f>
        <v/>
      </c>
      <c r="F148" s="40">
        <f>MAX(0,C148-E148)</f>
        <v/>
      </c>
    </row>
    <row r="149">
      <c r="A149" s="34" t="n">
        <v>12</v>
      </c>
      <c r="B149" s="34" t="inlineStr">
        <is>
          <t>2026-11-30</t>
        </is>
      </c>
      <c r="C149" s="40">
        <f>F148</f>
        <v/>
      </c>
      <c r="D149" s="40">
        <f>MAX(0,C149*$B$133/12)</f>
        <v/>
      </c>
      <c r="E149" s="40">
        <f>MAX(0,MIN(C149,$B$132-D149))</f>
        <v/>
      </c>
      <c r="F149" s="40">
        <f>MAX(0,C149-E149)</f>
        <v/>
      </c>
    </row>
    <row r="150">
      <c r="A150" s="34" t="n">
        <v>13</v>
      </c>
      <c r="B150" s="34" t="inlineStr">
        <is>
          <t>2026-12-30</t>
        </is>
      </c>
      <c r="C150" s="40">
        <f>F149</f>
        <v/>
      </c>
      <c r="D150" s="40">
        <f>MAX(0,C150*$B$133/12)</f>
        <v/>
      </c>
      <c r="E150" s="40">
        <f>MAX(0,MIN(C150,$B$132-D150))</f>
        <v/>
      </c>
      <c r="F150" s="40">
        <f>MAX(0,C150-E150)</f>
        <v/>
      </c>
    </row>
    <row r="151">
      <c r="A151" s="34" t="n">
        <v>14</v>
      </c>
      <c r="B151" s="34" t="inlineStr">
        <is>
          <t>2027-01-30</t>
        </is>
      </c>
      <c r="C151" s="40">
        <f>F150</f>
        <v/>
      </c>
      <c r="D151" s="40">
        <f>MAX(0,C151*$B$133/12)</f>
        <v/>
      </c>
      <c r="E151" s="40">
        <f>MAX(0,MIN(C151,$B$132-D151))</f>
        <v/>
      </c>
      <c r="F151" s="40">
        <f>MAX(0,C151-E151)</f>
        <v/>
      </c>
    </row>
    <row r="152">
      <c r="A152" s="34" t="n">
        <v>15</v>
      </c>
      <c r="B152" s="34" t="inlineStr">
        <is>
          <t>2027-02-28</t>
        </is>
      </c>
      <c r="C152" s="40">
        <f>F151</f>
        <v/>
      </c>
      <c r="D152" s="40">
        <f>MAX(0,C152*$B$133/12)</f>
        <v/>
      </c>
      <c r="E152" s="40">
        <f>MAX(0,MIN(C152,$B$132-D152))</f>
        <v/>
      </c>
      <c r="F152" s="40">
        <f>MAX(0,C152-E152)</f>
        <v/>
      </c>
    </row>
    <row r="153">
      <c r="A153" s="34" t="n">
        <v>16</v>
      </c>
      <c r="B153" s="34" t="inlineStr">
        <is>
          <t>2027-03-30</t>
        </is>
      </c>
      <c r="C153" s="40">
        <f>F152</f>
        <v/>
      </c>
      <c r="D153" s="40">
        <f>MAX(0,C153*$B$133/12)</f>
        <v/>
      </c>
      <c r="E153" s="40">
        <f>MAX(0,MIN(C153,$B$132-D153))</f>
        <v/>
      </c>
      <c r="F153" s="40">
        <f>MAX(0,C153-E153)</f>
        <v/>
      </c>
    </row>
    <row r="154">
      <c r="A154" s="34" t="n">
        <v>17</v>
      </c>
      <c r="B154" s="34" t="inlineStr">
        <is>
          <t>2027-04-30</t>
        </is>
      </c>
      <c r="C154" s="40">
        <f>F153</f>
        <v/>
      </c>
      <c r="D154" s="40">
        <f>MAX(0,C154*$B$133/12)</f>
        <v/>
      </c>
      <c r="E154" s="40">
        <f>MAX(0,MIN(C154,$B$132-D154))</f>
        <v/>
      </c>
      <c r="F154" s="40">
        <f>MAX(0,C154-E154)</f>
        <v/>
      </c>
    </row>
    <row r="155">
      <c r="A155" s="34" t="n">
        <v>18</v>
      </c>
      <c r="B155" s="34" t="inlineStr">
        <is>
          <t>2027-05-30</t>
        </is>
      </c>
      <c r="C155" s="40">
        <f>F154</f>
        <v/>
      </c>
      <c r="D155" s="40">
        <f>MAX(0,C155*$B$133/12)</f>
        <v/>
      </c>
      <c r="E155" s="40">
        <f>MAX(0,MIN(C155,$B$132-D155))</f>
        <v/>
      </c>
      <c r="F155" s="40">
        <f>MAX(0,C155-E155)</f>
        <v/>
      </c>
    </row>
    <row r="156">
      <c r="A156" s="34" t="n">
        <v>19</v>
      </c>
      <c r="B156" s="34" t="inlineStr">
        <is>
          <t>2027-06-30</t>
        </is>
      </c>
      <c r="C156" s="40">
        <f>F155</f>
        <v/>
      </c>
      <c r="D156" s="40">
        <f>MAX(0,C156*$B$133/12)</f>
        <v/>
      </c>
      <c r="E156" s="40">
        <f>MAX(0,MIN(C156,$B$132-D156))</f>
        <v/>
      </c>
      <c r="F156" s="40">
        <f>MAX(0,C156-E156)</f>
        <v/>
      </c>
    </row>
    <row r="157">
      <c r="A157" s="34" t="n">
        <v>20</v>
      </c>
      <c r="B157" s="34" t="inlineStr">
        <is>
          <t>2027-07-30</t>
        </is>
      </c>
      <c r="C157" s="40">
        <f>F156</f>
        <v/>
      </c>
      <c r="D157" s="40">
        <f>MAX(0,C157*$B$133/12)</f>
        <v/>
      </c>
      <c r="E157" s="40">
        <f>MAX(0,MIN(C157,$B$132-D157))</f>
        <v/>
      </c>
      <c r="F157" s="40">
        <f>MAX(0,C157-E157)</f>
        <v/>
      </c>
    </row>
    <row r="158">
      <c r="A158" s="34" t="n">
        <v>21</v>
      </c>
      <c r="B158" s="34" t="inlineStr">
        <is>
          <t>2027-08-30</t>
        </is>
      </c>
      <c r="C158" s="40">
        <f>F157</f>
        <v/>
      </c>
      <c r="D158" s="40">
        <f>MAX(0,C158*$B$133/12)</f>
        <v/>
      </c>
      <c r="E158" s="40">
        <f>MAX(0,MIN(C158,$B$132-D158))</f>
        <v/>
      </c>
      <c r="F158" s="40">
        <f>MAX(0,C158-E158)</f>
        <v/>
      </c>
    </row>
    <row r="159">
      <c r="A159" s="34" t="n">
        <v>22</v>
      </c>
      <c r="B159" s="34" t="inlineStr">
        <is>
          <t>2027-09-30</t>
        </is>
      </c>
      <c r="C159" s="40">
        <f>F158</f>
        <v/>
      </c>
      <c r="D159" s="40">
        <f>MAX(0,C159*$B$133/12)</f>
        <v/>
      </c>
      <c r="E159" s="40">
        <f>MAX(0,MIN(C159,$B$132-D159))</f>
        <v/>
      </c>
      <c r="F159" s="40">
        <f>MAX(0,C159-E159)</f>
        <v/>
      </c>
    </row>
    <row r="160">
      <c r="A160" s="34" t="n">
        <v>23</v>
      </c>
      <c r="B160" s="34" t="inlineStr">
        <is>
          <t>2027-10-30</t>
        </is>
      </c>
      <c r="C160" s="40">
        <f>F159</f>
        <v/>
      </c>
      <c r="D160" s="40">
        <f>MAX(0,C160*$B$133/12)</f>
        <v/>
      </c>
      <c r="E160" s="40">
        <f>MAX(0,MIN(C160,$B$132-D160))</f>
        <v/>
      </c>
      <c r="F160" s="40">
        <f>MAX(0,C160-E160)</f>
        <v/>
      </c>
    </row>
    <row r="161">
      <c r="A161" s="34" t="n">
        <v>24</v>
      </c>
      <c r="B161" s="34" t="inlineStr">
        <is>
          <t>2027-11-30</t>
        </is>
      </c>
      <c r="C161" s="40">
        <f>F160</f>
        <v/>
      </c>
      <c r="D161" s="40">
        <f>MAX(0,C161*$B$133/12)</f>
        <v/>
      </c>
      <c r="E161" s="40">
        <f>MAX(0,MIN(C161,$B$132-D161))</f>
        <v/>
      </c>
      <c r="F161" s="40">
        <f>MAX(0,C161-E161)</f>
        <v/>
      </c>
    </row>
    <row r="162">
      <c r="A162" s="34" t="n">
        <v>25</v>
      </c>
      <c r="B162" s="34" t="inlineStr">
        <is>
          <t>2027-12-30</t>
        </is>
      </c>
      <c r="C162" s="40">
        <f>F161</f>
        <v/>
      </c>
      <c r="D162" s="40">
        <f>MAX(0,C162*$B$133/12)</f>
        <v/>
      </c>
      <c r="E162" s="40">
        <f>MAX(0,MIN(C162,$B$132-D162))</f>
        <v/>
      </c>
      <c r="F162" s="40">
        <f>MAX(0,C162-E162)</f>
        <v/>
      </c>
    </row>
    <row r="163">
      <c r="A163" s="34" t="n">
        <v>26</v>
      </c>
      <c r="B163" s="34" t="inlineStr">
        <is>
          <t>2028-01-30</t>
        </is>
      </c>
      <c r="C163" s="40">
        <f>F162</f>
        <v/>
      </c>
      <c r="D163" s="40">
        <f>MAX(0,C163*$B$133/12)</f>
        <v/>
      </c>
      <c r="E163" s="40">
        <f>MAX(0,MIN(C163,$B$132-D163))</f>
        <v/>
      </c>
      <c r="F163" s="40">
        <f>MAX(0,C163-E163)</f>
        <v/>
      </c>
    </row>
    <row r="164">
      <c r="A164" s="34" t="n">
        <v>27</v>
      </c>
      <c r="B164" s="34" t="inlineStr">
        <is>
          <t>2028-02-29</t>
        </is>
      </c>
      <c r="C164" s="40">
        <f>F163</f>
        <v/>
      </c>
      <c r="D164" s="40">
        <f>MAX(0,C164*$B$133/12)</f>
        <v/>
      </c>
      <c r="E164" s="40">
        <f>MAX(0,MIN(C164,$B$132-D164))</f>
        <v/>
      </c>
      <c r="F164" s="40">
        <f>MAX(0,C164-E164)</f>
        <v/>
      </c>
    </row>
    <row r="165">
      <c r="A165" s="62" t="inlineStr">
        <is>
          <t>TOTAL</t>
        </is>
      </c>
      <c r="B165" s="63" t="n"/>
      <c r="C165" s="63" t="n"/>
      <c r="D165" s="64">
        <f>SUM(D138:D164)</f>
        <v/>
      </c>
      <c r="E165" s="64">
        <f>SUM(E138:E164)</f>
        <v/>
      </c>
      <c r="F165" s="63" t="n"/>
    </row>
    <row r="168">
      <c r="A168" s="69" t="inlineStr">
        <is>
          <t>LOAN 5: 5 T680 Sleepers (Aug 2022)</t>
        </is>
      </c>
    </row>
    <row r="169">
      <c r="A169" t="inlineStr">
        <is>
          <t>Loan ID:</t>
        </is>
      </c>
      <c r="B169" s="2" t="inlineStr">
        <is>
          <t>05-2934-001-000-00</t>
        </is>
      </c>
    </row>
    <row r="170">
      <c r="A170" t="inlineStr">
        <is>
          <t>Account #:</t>
        </is>
      </c>
      <c r="B170" s="2" t="inlineStr">
        <is>
          <t>9359467001</t>
        </is>
      </c>
    </row>
    <row r="171">
      <c r="A171" t="inlineStr">
        <is>
          <t>Origination Date:</t>
        </is>
      </c>
      <c r="B171" s="2" t="inlineStr">
        <is>
          <t>2022-08-05</t>
        </is>
      </c>
    </row>
    <row r="172">
      <c r="A172" t="inlineStr">
        <is>
          <t>Maturity Date:</t>
        </is>
      </c>
      <c r="B172" s="2" t="inlineStr">
        <is>
          <t>2028-02-10</t>
        </is>
      </c>
    </row>
    <row r="173">
      <c r="A173" t="inlineStr">
        <is>
          <t>Original Balance:</t>
        </is>
      </c>
      <c r="B173" s="3" t="n">
        <v>798925</v>
      </c>
    </row>
    <row r="174">
      <c r="A174" t="inlineStr">
        <is>
          <t>Remaining Balance:</t>
        </is>
      </c>
      <c r="B174" s="3" t="n">
        <v>352277</v>
      </c>
    </row>
    <row r="175">
      <c r="A175" t="inlineStr">
        <is>
          <t>Monthly Payment:</t>
        </is>
      </c>
      <c r="B175" s="3" t="n">
        <v>13666.65</v>
      </c>
    </row>
    <row r="176">
      <c r="A176" t="inlineStr">
        <is>
          <t>Annual Rate:</t>
        </is>
      </c>
      <c r="B176" s="4" t="n">
        <v>0.0442</v>
      </c>
    </row>
    <row r="177">
      <c r="A177" t="inlineStr">
        <is>
          <t>Loan Type:</t>
        </is>
      </c>
      <c r="B177" s="2" t="inlineStr">
        <is>
          <t>AMORTIZING</t>
        </is>
      </c>
    </row>
    <row r="178">
      <c r="A178" t="inlineStr">
        <is>
          <t>Use:</t>
        </is>
      </c>
      <c r="B178" s="2" t="inlineStr">
        <is>
          <t>Equipment (Semi trucks)</t>
        </is>
      </c>
    </row>
    <row r="180">
      <c r="A180" s="66" t="inlineStr">
        <is>
          <t>Month #</t>
        </is>
      </c>
      <c r="B180" s="66" t="inlineStr">
        <is>
          <t>Date</t>
        </is>
      </c>
      <c r="C180" s="66" t="inlineStr">
        <is>
          <t>Opening Balance</t>
        </is>
      </c>
      <c r="D180" s="66" t="inlineStr">
        <is>
          <t>Interest</t>
        </is>
      </c>
      <c r="E180" s="66" t="inlineStr">
        <is>
          <t>Principal</t>
        </is>
      </c>
      <c r="F180" s="66" t="inlineStr">
        <is>
          <t>Closing Balance</t>
        </is>
      </c>
    </row>
    <row r="181">
      <c r="A181" s="34" t="n">
        <v>1</v>
      </c>
      <c r="B181" s="34" t="inlineStr">
        <is>
          <t>2025-12-30</t>
        </is>
      </c>
      <c r="C181" s="40">
        <f>$B$174</f>
        <v/>
      </c>
      <c r="D181" s="40">
        <f>MAX(0,C181*$B$176/12)</f>
        <v/>
      </c>
      <c r="E181" s="40">
        <f>MAX(0,MIN(C181,$B$175-D181))</f>
        <v/>
      </c>
      <c r="F181" s="40">
        <f>MAX(0,C181-E181)</f>
        <v/>
      </c>
    </row>
    <row r="182">
      <c r="A182" s="34" t="n">
        <v>2</v>
      </c>
      <c r="B182" s="34" t="inlineStr">
        <is>
          <t>2026-01-30</t>
        </is>
      </c>
      <c r="C182" s="40">
        <f>F181</f>
        <v/>
      </c>
      <c r="D182" s="40">
        <f>MAX(0,C182*$B$176/12)</f>
        <v/>
      </c>
      <c r="E182" s="40">
        <f>MAX(0,MIN(C182,$B$175-D182))</f>
        <v/>
      </c>
      <c r="F182" s="40">
        <f>MAX(0,C182-E182)</f>
        <v/>
      </c>
    </row>
    <row r="183">
      <c r="A183" s="34" t="n">
        <v>3</v>
      </c>
      <c r="B183" s="34" t="inlineStr">
        <is>
          <t>2026-02-28</t>
        </is>
      </c>
      <c r="C183" s="40">
        <f>F182</f>
        <v/>
      </c>
      <c r="D183" s="40">
        <f>MAX(0,C183*$B$176/12)</f>
        <v/>
      </c>
      <c r="E183" s="40">
        <f>MAX(0,MIN(C183,$B$175-D183))</f>
        <v/>
      </c>
      <c r="F183" s="40">
        <f>MAX(0,C183-E183)</f>
        <v/>
      </c>
    </row>
    <row r="184">
      <c r="A184" s="34" t="n">
        <v>4</v>
      </c>
      <c r="B184" s="34" t="inlineStr">
        <is>
          <t>2026-03-30</t>
        </is>
      </c>
      <c r="C184" s="40">
        <f>F183</f>
        <v/>
      </c>
      <c r="D184" s="40">
        <f>MAX(0,C184*$B$176/12)</f>
        <v/>
      </c>
      <c r="E184" s="40">
        <f>MAX(0,MIN(C184,$B$175-D184))</f>
        <v/>
      </c>
      <c r="F184" s="40">
        <f>MAX(0,C184-E184)</f>
        <v/>
      </c>
    </row>
    <row r="185">
      <c r="A185" s="34" t="n">
        <v>5</v>
      </c>
      <c r="B185" s="34" t="inlineStr">
        <is>
          <t>2026-04-30</t>
        </is>
      </c>
      <c r="C185" s="40">
        <f>F184</f>
        <v/>
      </c>
      <c r="D185" s="40">
        <f>MAX(0,C185*$B$176/12)</f>
        <v/>
      </c>
      <c r="E185" s="40">
        <f>MAX(0,MIN(C185,$B$175-D185))</f>
        <v/>
      </c>
      <c r="F185" s="40">
        <f>MAX(0,C185-E185)</f>
        <v/>
      </c>
    </row>
    <row r="186">
      <c r="A186" s="34" t="n">
        <v>6</v>
      </c>
      <c r="B186" s="34" t="inlineStr">
        <is>
          <t>2026-05-30</t>
        </is>
      </c>
      <c r="C186" s="40">
        <f>F185</f>
        <v/>
      </c>
      <c r="D186" s="40">
        <f>MAX(0,C186*$B$176/12)</f>
        <v/>
      </c>
      <c r="E186" s="40">
        <f>MAX(0,MIN(C186,$B$175-D186))</f>
        <v/>
      </c>
      <c r="F186" s="40">
        <f>MAX(0,C186-E186)</f>
        <v/>
      </c>
    </row>
    <row r="187">
      <c r="A187" s="34" t="n">
        <v>7</v>
      </c>
      <c r="B187" s="34" t="inlineStr">
        <is>
          <t>2026-06-30</t>
        </is>
      </c>
      <c r="C187" s="40">
        <f>F186</f>
        <v/>
      </c>
      <c r="D187" s="40">
        <f>MAX(0,C187*$B$176/12)</f>
        <v/>
      </c>
      <c r="E187" s="40">
        <f>MAX(0,MIN(C187,$B$175-D187))</f>
        <v/>
      </c>
      <c r="F187" s="40">
        <f>MAX(0,C187-E187)</f>
        <v/>
      </c>
    </row>
    <row r="188">
      <c r="A188" s="34" t="n">
        <v>8</v>
      </c>
      <c r="B188" s="34" t="inlineStr">
        <is>
          <t>2026-07-30</t>
        </is>
      </c>
      <c r="C188" s="40">
        <f>F187</f>
        <v/>
      </c>
      <c r="D188" s="40">
        <f>MAX(0,C188*$B$176/12)</f>
        <v/>
      </c>
      <c r="E188" s="40">
        <f>MAX(0,MIN(C188,$B$175-D188))</f>
        <v/>
      </c>
      <c r="F188" s="40">
        <f>MAX(0,C188-E188)</f>
        <v/>
      </c>
    </row>
    <row r="189">
      <c r="A189" s="34" t="n">
        <v>9</v>
      </c>
      <c r="B189" s="34" t="inlineStr">
        <is>
          <t>2026-08-30</t>
        </is>
      </c>
      <c r="C189" s="40">
        <f>F188</f>
        <v/>
      </c>
      <c r="D189" s="40">
        <f>MAX(0,C189*$B$176/12)</f>
        <v/>
      </c>
      <c r="E189" s="40">
        <f>MAX(0,MIN(C189,$B$175-D189))</f>
        <v/>
      </c>
      <c r="F189" s="40">
        <f>MAX(0,C189-E189)</f>
        <v/>
      </c>
    </row>
    <row r="190">
      <c r="A190" s="34" t="n">
        <v>10</v>
      </c>
      <c r="B190" s="34" t="inlineStr">
        <is>
          <t>2026-09-30</t>
        </is>
      </c>
      <c r="C190" s="40">
        <f>F189</f>
        <v/>
      </c>
      <c r="D190" s="40">
        <f>MAX(0,C190*$B$176/12)</f>
        <v/>
      </c>
      <c r="E190" s="40">
        <f>MAX(0,MIN(C190,$B$175-D190))</f>
        <v/>
      </c>
      <c r="F190" s="40">
        <f>MAX(0,C190-E190)</f>
        <v/>
      </c>
    </row>
    <row r="191">
      <c r="A191" s="34" t="n">
        <v>11</v>
      </c>
      <c r="B191" s="34" t="inlineStr">
        <is>
          <t>2026-10-30</t>
        </is>
      </c>
      <c r="C191" s="40">
        <f>F190</f>
        <v/>
      </c>
      <c r="D191" s="40">
        <f>MAX(0,C191*$B$176/12)</f>
        <v/>
      </c>
      <c r="E191" s="40">
        <f>MAX(0,MIN(C191,$B$175-D191))</f>
        <v/>
      </c>
      <c r="F191" s="40">
        <f>MAX(0,C191-E191)</f>
        <v/>
      </c>
    </row>
    <row r="192">
      <c r="A192" s="34" t="n">
        <v>12</v>
      </c>
      <c r="B192" s="34" t="inlineStr">
        <is>
          <t>2026-11-30</t>
        </is>
      </c>
      <c r="C192" s="40">
        <f>F191</f>
        <v/>
      </c>
      <c r="D192" s="40">
        <f>MAX(0,C192*$B$176/12)</f>
        <v/>
      </c>
      <c r="E192" s="40">
        <f>MAX(0,MIN(C192,$B$175-D192))</f>
        <v/>
      </c>
      <c r="F192" s="40">
        <f>MAX(0,C192-E192)</f>
        <v/>
      </c>
    </row>
    <row r="193">
      <c r="A193" s="34" t="n">
        <v>13</v>
      </c>
      <c r="B193" s="34" t="inlineStr">
        <is>
          <t>2026-12-30</t>
        </is>
      </c>
      <c r="C193" s="40">
        <f>F192</f>
        <v/>
      </c>
      <c r="D193" s="40">
        <f>MAX(0,C193*$B$176/12)</f>
        <v/>
      </c>
      <c r="E193" s="40">
        <f>MAX(0,MIN(C193,$B$175-D193))</f>
        <v/>
      </c>
      <c r="F193" s="40">
        <f>MAX(0,C193-E193)</f>
        <v/>
      </c>
    </row>
    <row r="194">
      <c r="A194" s="34" t="n">
        <v>14</v>
      </c>
      <c r="B194" s="34" t="inlineStr">
        <is>
          <t>2027-01-30</t>
        </is>
      </c>
      <c r="C194" s="40">
        <f>F193</f>
        <v/>
      </c>
      <c r="D194" s="40">
        <f>MAX(0,C194*$B$176/12)</f>
        <v/>
      </c>
      <c r="E194" s="40">
        <f>MAX(0,MIN(C194,$B$175-D194))</f>
        <v/>
      </c>
      <c r="F194" s="40">
        <f>MAX(0,C194-E194)</f>
        <v/>
      </c>
    </row>
    <row r="195">
      <c r="A195" s="34" t="n">
        <v>15</v>
      </c>
      <c r="B195" s="34" t="inlineStr">
        <is>
          <t>2027-02-28</t>
        </is>
      </c>
      <c r="C195" s="40">
        <f>F194</f>
        <v/>
      </c>
      <c r="D195" s="40">
        <f>MAX(0,C195*$B$176/12)</f>
        <v/>
      </c>
      <c r="E195" s="40">
        <f>MAX(0,MIN(C195,$B$175-D195))</f>
        <v/>
      </c>
      <c r="F195" s="40">
        <f>MAX(0,C195-E195)</f>
        <v/>
      </c>
    </row>
    <row r="196">
      <c r="A196" s="34" t="n">
        <v>16</v>
      </c>
      <c r="B196" s="34" t="inlineStr">
        <is>
          <t>2027-03-30</t>
        </is>
      </c>
      <c r="C196" s="40">
        <f>F195</f>
        <v/>
      </c>
      <c r="D196" s="40">
        <f>MAX(0,C196*$B$176/12)</f>
        <v/>
      </c>
      <c r="E196" s="40">
        <f>MAX(0,MIN(C196,$B$175-D196))</f>
        <v/>
      </c>
      <c r="F196" s="40">
        <f>MAX(0,C196-E196)</f>
        <v/>
      </c>
    </row>
    <row r="197">
      <c r="A197" s="34" t="n">
        <v>17</v>
      </c>
      <c r="B197" s="34" t="inlineStr">
        <is>
          <t>2027-04-30</t>
        </is>
      </c>
      <c r="C197" s="40">
        <f>F196</f>
        <v/>
      </c>
      <c r="D197" s="40">
        <f>MAX(0,C197*$B$176/12)</f>
        <v/>
      </c>
      <c r="E197" s="40">
        <f>MAX(0,MIN(C197,$B$175-D197))</f>
        <v/>
      </c>
      <c r="F197" s="40">
        <f>MAX(0,C197-E197)</f>
        <v/>
      </c>
    </row>
    <row r="198">
      <c r="A198" s="34" t="n">
        <v>18</v>
      </c>
      <c r="B198" s="34" t="inlineStr">
        <is>
          <t>2027-05-30</t>
        </is>
      </c>
      <c r="C198" s="40">
        <f>F197</f>
        <v/>
      </c>
      <c r="D198" s="40">
        <f>MAX(0,C198*$B$176/12)</f>
        <v/>
      </c>
      <c r="E198" s="40">
        <f>MAX(0,MIN(C198,$B$175-D198))</f>
        <v/>
      </c>
      <c r="F198" s="40">
        <f>MAX(0,C198-E198)</f>
        <v/>
      </c>
    </row>
    <row r="199">
      <c r="A199" s="34" t="n">
        <v>19</v>
      </c>
      <c r="B199" s="34" t="inlineStr">
        <is>
          <t>2027-06-30</t>
        </is>
      </c>
      <c r="C199" s="40">
        <f>F198</f>
        <v/>
      </c>
      <c r="D199" s="40">
        <f>MAX(0,C199*$B$176/12)</f>
        <v/>
      </c>
      <c r="E199" s="40">
        <f>MAX(0,MIN(C199,$B$175-D199))</f>
        <v/>
      </c>
      <c r="F199" s="40">
        <f>MAX(0,C199-E199)</f>
        <v/>
      </c>
    </row>
    <row r="200">
      <c r="A200" s="34" t="n">
        <v>20</v>
      </c>
      <c r="B200" s="34" t="inlineStr">
        <is>
          <t>2027-07-30</t>
        </is>
      </c>
      <c r="C200" s="40">
        <f>F199</f>
        <v/>
      </c>
      <c r="D200" s="40">
        <f>MAX(0,C200*$B$176/12)</f>
        <v/>
      </c>
      <c r="E200" s="40">
        <f>MAX(0,MIN(C200,$B$175-D200))</f>
        <v/>
      </c>
      <c r="F200" s="40">
        <f>MAX(0,C200-E200)</f>
        <v/>
      </c>
    </row>
    <row r="201">
      <c r="A201" s="34" t="n">
        <v>21</v>
      </c>
      <c r="B201" s="34" t="inlineStr">
        <is>
          <t>2027-08-30</t>
        </is>
      </c>
      <c r="C201" s="40">
        <f>F200</f>
        <v/>
      </c>
      <c r="D201" s="40">
        <f>MAX(0,C201*$B$176/12)</f>
        <v/>
      </c>
      <c r="E201" s="40">
        <f>MAX(0,MIN(C201,$B$175-D201))</f>
        <v/>
      </c>
      <c r="F201" s="40">
        <f>MAX(0,C201-E201)</f>
        <v/>
      </c>
    </row>
    <row r="202">
      <c r="A202" s="34" t="n">
        <v>22</v>
      </c>
      <c r="B202" s="34" t="inlineStr">
        <is>
          <t>2027-09-30</t>
        </is>
      </c>
      <c r="C202" s="40">
        <f>F201</f>
        <v/>
      </c>
      <c r="D202" s="40">
        <f>MAX(0,C202*$B$176/12)</f>
        <v/>
      </c>
      <c r="E202" s="40">
        <f>MAX(0,MIN(C202,$B$175-D202))</f>
        <v/>
      </c>
      <c r="F202" s="40">
        <f>MAX(0,C202-E202)</f>
        <v/>
      </c>
    </row>
    <row r="203">
      <c r="A203" s="34" t="n">
        <v>23</v>
      </c>
      <c r="B203" s="34" t="inlineStr">
        <is>
          <t>2027-10-30</t>
        </is>
      </c>
      <c r="C203" s="40">
        <f>F202</f>
        <v/>
      </c>
      <c r="D203" s="40">
        <f>MAX(0,C203*$B$176/12)</f>
        <v/>
      </c>
      <c r="E203" s="40">
        <f>MAX(0,MIN(C203,$B$175-D203))</f>
        <v/>
      </c>
      <c r="F203" s="40">
        <f>MAX(0,C203-E203)</f>
        <v/>
      </c>
    </row>
    <row r="204">
      <c r="A204" s="34" t="n">
        <v>24</v>
      </c>
      <c r="B204" s="34" t="inlineStr">
        <is>
          <t>2027-11-30</t>
        </is>
      </c>
      <c r="C204" s="40">
        <f>F203</f>
        <v/>
      </c>
      <c r="D204" s="40">
        <f>MAX(0,C204*$B$176/12)</f>
        <v/>
      </c>
      <c r="E204" s="40">
        <f>MAX(0,MIN(C204,$B$175-D204))</f>
        <v/>
      </c>
      <c r="F204" s="40">
        <f>MAX(0,C204-E204)</f>
        <v/>
      </c>
    </row>
    <row r="205">
      <c r="A205" s="34" t="n">
        <v>25</v>
      </c>
      <c r="B205" s="34" t="inlineStr">
        <is>
          <t>2027-12-30</t>
        </is>
      </c>
      <c r="C205" s="40">
        <f>F204</f>
        <v/>
      </c>
      <c r="D205" s="40">
        <f>MAX(0,C205*$B$176/12)</f>
        <v/>
      </c>
      <c r="E205" s="40">
        <f>MAX(0,MIN(C205,$B$175-D205))</f>
        <v/>
      </c>
      <c r="F205" s="40">
        <f>MAX(0,C205-E205)</f>
        <v/>
      </c>
    </row>
    <row r="206">
      <c r="A206" s="34" t="n">
        <v>26</v>
      </c>
      <c r="B206" s="34" t="inlineStr">
        <is>
          <t>2028-01-30</t>
        </is>
      </c>
      <c r="C206" s="40">
        <f>F205</f>
        <v/>
      </c>
      <c r="D206" s="40">
        <f>MAX(0,C206*$B$176/12)</f>
        <v/>
      </c>
      <c r="E206" s="40">
        <f>MAX(0,MIN(C206,$B$175-D206))</f>
        <v/>
      </c>
      <c r="F206" s="40">
        <f>MAX(0,C206-E206)</f>
        <v/>
      </c>
    </row>
    <row r="207">
      <c r="A207" s="34" t="n">
        <v>27</v>
      </c>
      <c r="B207" s="34" t="inlineStr">
        <is>
          <t>2028-02-29</t>
        </is>
      </c>
      <c r="C207" s="40">
        <f>F206</f>
        <v/>
      </c>
      <c r="D207" s="40">
        <f>MAX(0,C207*$B$176/12)</f>
        <v/>
      </c>
      <c r="E207" s="40">
        <f>MAX(0,MIN(C207,$B$175-D207))</f>
        <v/>
      </c>
      <c r="F207" s="40">
        <f>MAX(0,C207-E207)</f>
        <v/>
      </c>
    </row>
    <row r="208">
      <c r="A208" s="62" t="inlineStr">
        <is>
          <t>TOTAL</t>
        </is>
      </c>
      <c r="B208" s="63" t="n"/>
      <c r="C208" s="63" t="n"/>
      <c r="D208" s="64">
        <f>SUM(D181:D207)</f>
        <v/>
      </c>
      <c r="E208" s="64">
        <f>SUM(E181:E207)</f>
        <v/>
      </c>
      <c r="F208" s="63" t="n"/>
    </row>
    <row r="211">
      <c r="A211" s="69" t="inlineStr">
        <is>
          <t>LOAN 6: 5 T680 Daycabs (May 2023)</t>
        </is>
      </c>
    </row>
    <row r="212">
      <c r="A212" t="inlineStr">
        <is>
          <t>Loan ID:</t>
        </is>
      </c>
      <c r="B212" s="2" t="inlineStr">
        <is>
          <t>05-2934-003-000-00</t>
        </is>
      </c>
    </row>
    <row r="213">
      <c r="A213" t="inlineStr">
        <is>
          <t>Account #:</t>
        </is>
      </c>
      <c r="B213" s="2" t="inlineStr">
        <is>
          <t>9368193001</t>
        </is>
      </c>
    </row>
    <row r="214">
      <c r="A214" t="inlineStr">
        <is>
          <t>Origination Date:</t>
        </is>
      </c>
      <c r="B214" s="2" t="inlineStr">
        <is>
          <t>2023-05-12</t>
        </is>
      </c>
    </row>
    <row r="215">
      <c r="A215" t="inlineStr">
        <is>
          <t>Maturity Date:</t>
        </is>
      </c>
      <c r="B215" s="2" t="inlineStr">
        <is>
          <t>2028-12-01</t>
        </is>
      </c>
    </row>
    <row r="216">
      <c r="A216" t="inlineStr">
        <is>
          <t>Original Balance:</t>
        </is>
      </c>
      <c r="B216" s="3" t="n">
        <v>816500</v>
      </c>
    </row>
    <row r="217">
      <c r="A217" t="inlineStr">
        <is>
          <t>Remaining Balance:</t>
        </is>
      </c>
      <c r="B217" s="3" t="n">
        <v>492095</v>
      </c>
    </row>
    <row r="218">
      <c r="A218" t="inlineStr">
        <is>
          <t>Monthly Payment:</t>
        </is>
      </c>
      <c r="B218" s="3" t="n">
        <v>14602.4</v>
      </c>
    </row>
    <row r="219">
      <c r="A219" t="inlineStr">
        <is>
          <t>Annual Rate:</t>
        </is>
      </c>
      <c r="B219" s="4" t="n">
        <v>0.0599</v>
      </c>
    </row>
    <row r="220">
      <c r="A220" t="inlineStr">
        <is>
          <t>Loan Type:</t>
        </is>
      </c>
      <c r="B220" s="2" t="inlineStr">
        <is>
          <t>AMORTIZING</t>
        </is>
      </c>
    </row>
    <row r="221">
      <c r="A221" t="inlineStr">
        <is>
          <t>Use:</t>
        </is>
      </c>
      <c r="B221" s="2" t="inlineStr">
        <is>
          <t>Equipment (Semi trucks)</t>
        </is>
      </c>
    </row>
    <row r="223">
      <c r="A223" s="66" t="inlineStr">
        <is>
          <t>Month #</t>
        </is>
      </c>
      <c r="B223" s="66" t="inlineStr">
        <is>
          <t>Date</t>
        </is>
      </c>
      <c r="C223" s="66" t="inlineStr">
        <is>
          <t>Opening Balance</t>
        </is>
      </c>
      <c r="D223" s="66" t="inlineStr">
        <is>
          <t>Interest</t>
        </is>
      </c>
      <c r="E223" s="66" t="inlineStr">
        <is>
          <t>Principal</t>
        </is>
      </c>
      <c r="F223" s="66" t="inlineStr">
        <is>
          <t>Closing Balance</t>
        </is>
      </c>
    </row>
    <row r="224">
      <c r="A224" s="34" t="n">
        <v>1</v>
      </c>
      <c r="B224" s="34" t="inlineStr">
        <is>
          <t>2025-12-30</t>
        </is>
      </c>
      <c r="C224" s="40">
        <f>$B$217</f>
        <v/>
      </c>
      <c r="D224" s="40">
        <f>MAX(0,C224*$B$219/12)</f>
        <v/>
      </c>
      <c r="E224" s="40">
        <f>MAX(0,MIN(C224,$B$218-D224))</f>
        <v/>
      </c>
      <c r="F224" s="40">
        <f>MAX(0,C224-E224)</f>
        <v/>
      </c>
    </row>
    <row r="225">
      <c r="A225" s="34" t="n">
        <v>2</v>
      </c>
      <c r="B225" s="34" t="inlineStr">
        <is>
          <t>2026-01-30</t>
        </is>
      </c>
      <c r="C225" s="40">
        <f>F224</f>
        <v/>
      </c>
      <c r="D225" s="40">
        <f>MAX(0,C225*$B$219/12)</f>
        <v/>
      </c>
      <c r="E225" s="40">
        <f>MAX(0,MIN(C225,$B$218-D225))</f>
        <v/>
      </c>
      <c r="F225" s="40">
        <f>MAX(0,C225-E225)</f>
        <v/>
      </c>
    </row>
    <row r="226">
      <c r="A226" s="34" t="n">
        <v>3</v>
      </c>
      <c r="B226" s="34" t="inlineStr">
        <is>
          <t>2026-02-28</t>
        </is>
      </c>
      <c r="C226" s="40">
        <f>F225</f>
        <v/>
      </c>
      <c r="D226" s="40">
        <f>MAX(0,C226*$B$219/12)</f>
        <v/>
      </c>
      <c r="E226" s="40">
        <f>MAX(0,MIN(C226,$B$218-D226))</f>
        <v/>
      </c>
      <c r="F226" s="40">
        <f>MAX(0,C226-E226)</f>
        <v/>
      </c>
    </row>
    <row r="227">
      <c r="A227" s="34" t="n">
        <v>4</v>
      </c>
      <c r="B227" s="34" t="inlineStr">
        <is>
          <t>2026-03-30</t>
        </is>
      </c>
      <c r="C227" s="40">
        <f>F226</f>
        <v/>
      </c>
      <c r="D227" s="40">
        <f>MAX(0,C227*$B$219/12)</f>
        <v/>
      </c>
      <c r="E227" s="40">
        <f>MAX(0,MIN(C227,$B$218-D227))</f>
        <v/>
      </c>
      <c r="F227" s="40">
        <f>MAX(0,C227-E227)</f>
        <v/>
      </c>
    </row>
    <row r="228">
      <c r="A228" s="34" t="n">
        <v>5</v>
      </c>
      <c r="B228" s="34" t="inlineStr">
        <is>
          <t>2026-04-30</t>
        </is>
      </c>
      <c r="C228" s="40">
        <f>F227</f>
        <v/>
      </c>
      <c r="D228" s="40">
        <f>MAX(0,C228*$B$219/12)</f>
        <v/>
      </c>
      <c r="E228" s="40">
        <f>MAX(0,MIN(C228,$B$218-D228))</f>
        <v/>
      </c>
      <c r="F228" s="40">
        <f>MAX(0,C228-E228)</f>
        <v/>
      </c>
    </row>
    <row r="229">
      <c r="A229" s="34" t="n">
        <v>6</v>
      </c>
      <c r="B229" s="34" t="inlineStr">
        <is>
          <t>2026-05-30</t>
        </is>
      </c>
      <c r="C229" s="40">
        <f>F228</f>
        <v/>
      </c>
      <c r="D229" s="40">
        <f>MAX(0,C229*$B$219/12)</f>
        <v/>
      </c>
      <c r="E229" s="40">
        <f>MAX(0,MIN(C229,$B$218-D229))</f>
        <v/>
      </c>
      <c r="F229" s="40">
        <f>MAX(0,C229-E229)</f>
        <v/>
      </c>
    </row>
    <row r="230">
      <c r="A230" s="34" t="n">
        <v>7</v>
      </c>
      <c r="B230" s="34" t="inlineStr">
        <is>
          <t>2026-06-30</t>
        </is>
      </c>
      <c r="C230" s="40">
        <f>F229</f>
        <v/>
      </c>
      <c r="D230" s="40">
        <f>MAX(0,C230*$B$219/12)</f>
        <v/>
      </c>
      <c r="E230" s="40">
        <f>MAX(0,MIN(C230,$B$218-D230))</f>
        <v/>
      </c>
      <c r="F230" s="40">
        <f>MAX(0,C230-E230)</f>
        <v/>
      </c>
    </row>
    <row r="231">
      <c r="A231" s="34" t="n">
        <v>8</v>
      </c>
      <c r="B231" s="34" t="inlineStr">
        <is>
          <t>2026-07-30</t>
        </is>
      </c>
      <c r="C231" s="40">
        <f>F230</f>
        <v/>
      </c>
      <c r="D231" s="40">
        <f>MAX(0,C231*$B$219/12)</f>
        <v/>
      </c>
      <c r="E231" s="40">
        <f>MAX(0,MIN(C231,$B$218-D231))</f>
        <v/>
      </c>
      <c r="F231" s="40">
        <f>MAX(0,C231-E231)</f>
        <v/>
      </c>
    </row>
    <row r="232">
      <c r="A232" s="34" t="n">
        <v>9</v>
      </c>
      <c r="B232" s="34" t="inlineStr">
        <is>
          <t>2026-08-30</t>
        </is>
      </c>
      <c r="C232" s="40">
        <f>F231</f>
        <v/>
      </c>
      <c r="D232" s="40">
        <f>MAX(0,C232*$B$219/12)</f>
        <v/>
      </c>
      <c r="E232" s="40">
        <f>MAX(0,MIN(C232,$B$218-D232))</f>
        <v/>
      </c>
      <c r="F232" s="40">
        <f>MAX(0,C232-E232)</f>
        <v/>
      </c>
    </row>
    <row r="233">
      <c r="A233" s="34" t="n">
        <v>10</v>
      </c>
      <c r="B233" s="34" t="inlineStr">
        <is>
          <t>2026-09-30</t>
        </is>
      </c>
      <c r="C233" s="40">
        <f>F232</f>
        <v/>
      </c>
      <c r="D233" s="40">
        <f>MAX(0,C233*$B$219/12)</f>
        <v/>
      </c>
      <c r="E233" s="40">
        <f>MAX(0,MIN(C233,$B$218-D233))</f>
        <v/>
      </c>
      <c r="F233" s="40">
        <f>MAX(0,C233-E233)</f>
        <v/>
      </c>
    </row>
    <row r="234">
      <c r="A234" s="34" t="n">
        <v>11</v>
      </c>
      <c r="B234" s="34" t="inlineStr">
        <is>
          <t>2026-10-30</t>
        </is>
      </c>
      <c r="C234" s="40">
        <f>F233</f>
        <v/>
      </c>
      <c r="D234" s="40">
        <f>MAX(0,C234*$B$219/12)</f>
        <v/>
      </c>
      <c r="E234" s="40">
        <f>MAX(0,MIN(C234,$B$218-D234))</f>
        <v/>
      </c>
      <c r="F234" s="40">
        <f>MAX(0,C234-E234)</f>
        <v/>
      </c>
    </row>
    <row r="235">
      <c r="A235" s="34" t="n">
        <v>12</v>
      </c>
      <c r="B235" s="34" t="inlineStr">
        <is>
          <t>2026-11-30</t>
        </is>
      </c>
      <c r="C235" s="40">
        <f>F234</f>
        <v/>
      </c>
      <c r="D235" s="40">
        <f>MAX(0,C235*$B$219/12)</f>
        <v/>
      </c>
      <c r="E235" s="40">
        <f>MAX(0,MIN(C235,$B$218-D235))</f>
        <v/>
      </c>
      <c r="F235" s="40">
        <f>MAX(0,C235-E235)</f>
        <v/>
      </c>
    </row>
    <row r="236">
      <c r="A236" s="34" t="n">
        <v>13</v>
      </c>
      <c r="B236" s="34" t="inlineStr">
        <is>
          <t>2026-12-30</t>
        </is>
      </c>
      <c r="C236" s="40">
        <f>F235</f>
        <v/>
      </c>
      <c r="D236" s="40">
        <f>MAX(0,C236*$B$219/12)</f>
        <v/>
      </c>
      <c r="E236" s="40">
        <f>MAX(0,MIN(C236,$B$218-D236))</f>
        <v/>
      </c>
      <c r="F236" s="40">
        <f>MAX(0,C236-E236)</f>
        <v/>
      </c>
    </row>
    <row r="237">
      <c r="A237" s="34" t="n">
        <v>14</v>
      </c>
      <c r="B237" s="34" t="inlineStr">
        <is>
          <t>2027-01-30</t>
        </is>
      </c>
      <c r="C237" s="40">
        <f>F236</f>
        <v/>
      </c>
      <c r="D237" s="40">
        <f>MAX(0,C237*$B$219/12)</f>
        <v/>
      </c>
      <c r="E237" s="40">
        <f>MAX(0,MIN(C237,$B$218-D237))</f>
        <v/>
      </c>
      <c r="F237" s="40">
        <f>MAX(0,C237-E237)</f>
        <v/>
      </c>
    </row>
    <row r="238">
      <c r="A238" s="34" t="n">
        <v>15</v>
      </c>
      <c r="B238" s="34" t="inlineStr">
        <is>
          <t>2027-02-28</t>
        </is>
      </c>
      <c r="C238" s="40">
        <f>F237</f>
        <v/>
      </c>
      <c r="D238" s="40">
        <f>MAX(0,C238*$B$219/12)</f>
        <v/>
      </c>
      <c r="E238" s="40">
        <f>MAX(0,MIN(C238,$B$218-D238))</f>
        <v/>
      </c>
      <c r="F238" s="40">
        <f>MAX(0,C238-E238)</f>
        <v/>
      </c>
    </row>
    <row r="239">
      <c r="A239" s="34" t="n">
        <v>16</v>
      </c>
      <c r="B239" s="34" t="inlineStr">
        <is>
          <t>2027-03-30</t>
        </is>
      </c>
      <c r="C239" s="40">
        <f>F238</f>
        <v/>
      </c>
      <c r="D239" s="40">
        <f>MAX(0,C239*$B$219/12)</f>
        <v/>
      </c>
      <c r="E239" s="40">
        <f>MAX(0,MIN(C239,$B$218-D239))</f>
        <v/>
      </c>
      <c r="F239" s="40">
        <f>MAX(0,C239-E239)</f>
        <v/>
      </c>
    </row>
    <row r="240">
      <c r="A240" s="34" t="n">
        <v>17</v>
      </c>
      <c r="B240" s="34" t="inlineStr">
        <is>
          <t>2027-04-30</t>
        </is>
      </c>
      <c r="C240" s="40">
        <f>F239</f>
        <v/>
      </c>
      <c r="D240" s="40">
        <f>MAX(0,C240*$B$219/12)</f>
        <v/>
      </c>
      <c r="E240" s="40">
        <f>MAX(0,MIN(C240,$B$218-D240))</f>
        <v/>
      </c>
      <c r="F240" s="40">
        <f>MAX(0,C240-E240)</f>
        <v/>
      </c>
    </row>
    <row r="241">
      <c r="A241" s="34" t="n">
        <v>18</v>
      </c>
      <c r="B241" s="34" t="inlineStr">
        <is>
          <t>2027-05-30</t>
        </is>
      </c>
      <c r="C241" s="40">
        <f>F240</f>
        <v/>
      </c>
      <c r="D241" s="40">
        <f>MAX(0,C241*$B$219/12)</f>
        <v/>
      </c>
      <c r="E241" s="40">
        <f>MAX(0,MIN(C241,$B$218-D241))</f>
        <v/>
      </c>
      <c r="F241" s="40">
        <f>MAX(0,C241-E241)</f>
        <v/>
      </c>
    </row>
    <row r="242">
      <c r="A242" s="34" t="n">
        <v>19</v>
      </c>
      <c r="B242" s="34" t="inlineStr">
        <is>
          <t>2027-06-30</t>
        </is>
      </c>
      <c r="C242" s="40">
        <f>F241</f>
        <v/>
      </c>
      <c r="D242" s="40">
        <f>MAX(0,C242*$B$219/12)</f>
        <v/>
      </c>
      <c r="E242" s="40">
        <f>MAX(0,MIN(C242,$B$218-D242))</f>
        <v/>
      </c>
      <c r="F242" s="40">
        <f>MAX(0,C242-E242)</f>
        <v/>
      </c>
    </row>
    <row r="243">
      <c r="A243" s="34" t="n">
        <v>20</v>
      </c>
      <c r="B243" s="34" t="inlineStr">
        <is>
          <t>2027-07-30</t>
        </is>
      </c>
      <c r="C243" s="40">
        <f>F242</f>
        <v/>
      </c>
      <c r="D243" s="40">
        <f>MAX(0,C243*$B$219/12)</f>
        <v/>
      </c>
      <c r="E243" s="40">
        <f>MAX(0,MIN(C243,$B$218-D243))</f>
        <v/>
      </c>
      <c r="F243" s="40">
        <f>MAX(0,C243-E243)</f>
        <v/>
      </c>
    </row>
    <row r="244">
      <c r="A244" s="34" t="n">
        <v>21</v>
      </c>
      <c r="B244" s="34" t="inlineStr">
        <is>
          <t>2027-08-30</t>
        </is>
      </c>
      <c r="C244" s="40">
        <f>F243</f>
        <v/>
      </c>
      <c r="D244" s="40">
        <f>MAX(0,C244*$B$219/12)</f>
        <v/>
      </c>
      <c r="E244" s="40">
        <f>MAX(0,MIN(C244,$B$218-D244))</f>
        <v/>
      </c>
      <c r="F244" s="40">
        <f>MAX(0,C244-E244)</f>
        <v/>
      </c>
    </row>
    <row r="245">
      <c r="A245" s="34" t="n">
        <v>22</v>
      </c>
      <c r="B245" s="34" t="inlineStr">
        <is>
          <t>2027-09-30</t>
        </is>
      </c>
      <c r="C245" s="40">
        <f>F244</f>
        <v/>
      </c>
      <c r="D245" s="40">
        <f>MAX(0,C245*$B$219/12)</f>
        <v/>
      </c>
      <c r="E245" s="40">
        <f>MAX(0,MIN(C245,$B$218-D245))</f>
        <v/>
      </c>
      <c r="F245" s="40">
        <f>MAX(0,C245-E245)</f>
        <v/>
      </c>
    </row>
    <row r="246">
      <c r="A246" s="34" t="n">
        <v>23</v>
      </c>
      <c r="B246" s="34" t="inlineStr">
        <is>
          <t>2027-10-30</t>
        </is>
      </c>
      <c r="C246" s="40">
        <f>F245</f>
        <v/>
      </c>
      <c r="D246" s="40">
        <f>MAX(0,C246*$B$219/12)</f>
        <v/>
      </c>
      <c r="E246" s="40">
        <f>MAX(0,MIN(C246,$B$218-D246))</f>
        <v/>
      </c>
      <c r="F246" s="40">
        <f>MAX(0,C246-E246)</f>
        <v/>
      </c>
    </row>
    <row r="247">
      <c r="A247" s="34" t="n">
        <v>24</v>
      </c>
      <c r="B247" s="34" t="inlineStr">
        <is>
          <t>2027-11-30</t>
        </is>
      </c>
      <c r="C247" s="40">
        <f>F246</f>
        <v/>
      </c>
      <c r="D247" s="40">
        <f>MAX(0,C247*$B$219/12)</f>
        <v/>
      </c>
      <c r="E247" s="40">
        <f>MAX(0,MIN(C247,$B$218-D247))</f>
        <v/>
      </c>
      <c r="F247" s="40">
        <f>MAX(0,C247-E247)</f>
        <v/>
      </c>
    </row>
    <row r="248">
      <c r="A248" s="34" t="n">
        <v>25</v>
      </c>
      <c r="B248" s="34" t="inlineStr">
        <is>
          <t>2027-12-30</t>
        </is>
      </c>
      <c r="C248" s="40">
        <f>F247</f>
        <v/>
      </c>
      <c r="D248" s="40">
        <f>MAX(0,C248*$B$219/12)</f>
        <v/>
      </c>
      <c r="E248" s="40">
        <f>MAX(0,MIN(C248,$B$218-D248))</f>
        <v/>
      </c>
      <c r="F248" s="40">
        <f>MAX(0,C248-E248)</f>
        <v/>
      </c>
    </row>
    <row r="249">
      <c r="A249" s="34" t="n">
        <v>26</v>
      </c>
      <c r="B249" s="34" t="inlineStr">
        <is>
          <t>2028-01-30</t>
        </is>
      </c>
      <c r="C249" s="40">
        <f>F248</f>
        <v/>
      </c>
      <c r="D249" s="40">
        <f>MAX(0,C249*$B$219/12)</f>
        <v/>
      </c>
      <c r="E249" s="40">
        <f>MAX(0,MIN(C249,$B$218-D249))</f>
        <v/>
      </c>
      <c r="F249" s="40">
        <f>MAX(0,C249-E249)</f>
        <v/>
      </c>
    </row>
    <row r="250">
      <c r="A250" s="34" t="n">
        <v>27</v>
      </c>
      <c r="B250" s="34" t="inlineStr">
        <is>
          <t>2028-02-29</t>
        </is>
      </c>
      <c r="C250" s="40">
        <f>F249</f>
        <v/>
      </c>
      <c r="D250" s="40">
        <f>MAX(0,C250*$B$219/12)</f>
        <v/>
      </c>
      <c r="E250" s="40">
        <f>MAX(0,MIN(C250,$B$218-D250))</f>
        <v/>
      </c>
      <c r="F250" s="40">
        <f>MAX(0,C250-E250)</f>
        <v/>
      </c>
    </row>
    <row r="251">
      <c r="A251" s="34" t="n">
        <v>28</v>
      </c>
      <c r="B251" s="34" t="inlineStr">
        <is>
          <t>2028-03-30</t>
        </is>
      </c>
      <c r="C251" s="40">
        <f>F250</f>
        <v/>
      </c>
      <c r="D251" s="40">
        <f>MAX(0,C251*$B$219/12)</f>
        <v/>
      </c>
      <c r="E251" s="40">
        <f>MAX(0,MIN(C251,$B$218-D251))</f>
        <v/>
      </c>
      <c r="F251" s="40">
        <f>MAX(0,C251-E251)</f>
        <v/>
      </c>
    </row>
    <row r="252">
      <c r="A252" s="34" t="n">
        <v>29</v>
      </c>
      <c r="B252" s="34" t="inlineStr">
        <is>
          <t>2028-04-30</t>
        </is>
      </c>
      <c r="C252" s="40">
        <f>F251</f>
        <v/>
      </c>
      <c r="D252" s="40">
        <f>MAX(0,C252*$B$219/12)</f>
        <v/>
      </c>
      <c r="E252" s="40">
        <f>MAX(0,MIN(C252,$B$218-D252))</f>
        <v/>
      </c>
      <c r="F252" s="40">
        <f>MAX(0,C252-E252)</f>
        <v/>
      </c>
    </row>
    <row r="253">
      <c r="A253" s="34" t="n">
        <v>30</v>
      </c>
      <c r="B253" s="34" t="inlineStr">
        <is>
          <t>2028-05-30</t>
        </is>
      </c>
      <c r="C253" s="40">
        <f>F252</f>
        <v/>
      </c>
      <c r="D253" s="40">
        <f>MAX(0,C253*$B$219/12)</f>
        <v/>
      </c>
      <c r="E253" s="40">
        <f>MAX(0,MIN(C253,$B$218-D253))</f>
        <v/>
      </c>
      <c r="F253" s="40">
        <f>MAX(0,C253-E253)</f>
        <v/>
      </c>
    </row>
    <row r="254">
      <c r="A254" s="34" t="n">
        <v>31</v>
      </c>
      <c r="B254" s="34" t="inlineStr">
        <is>
          <t>2028-06-30</t>
        </is>
      </c>
      <c r="C254" s="40">
        <f>F253</f>
        <v/>
      </c>
      <c r="D254" s="40">
        <f>MAX(0,C254*$B$219/12)</f>
        <v/>
      </c>
      <c r="E254" s="40">
        <f>MAX(0,MIN(C254,$B$218-D254))</f>
        <v/>
      </c>
      <c r="F254" s="40">
        <f>MAX(0,C254-E254)</f>
        <v/>
      </c>
    </row>
    <row r="255">
      <c r="A255" s="34" t="n">
        <v>32</v>
      </c>
      <c r="B255" s="34" t="inlineStr">
        <is>
          <t>2028-07-30</t>
        </is>
      </c>
      <c r="C255" s="40">
        <f>F254</f>
        <v/>
      </c>
      <c r="D255" s="40">
        <f>MAX(0,C255*$B$219/12)</f>
        <v/>
      </c>
      <c r="E255" s="40">
        <f>MAX(0,MIN(C255,$B$218-D255))</f>
        <v/>
      </c>
      <c r="F255" s="40">
        <f>MAX(0,C255-E255)</f>
        <v/>
      </c>
    </row>
    <row r="256">
      <c r="A256" s="34" t="n">
        <v>33</v>
      </c>
      <c r="B256" s="34" t="inlineStr">
        <is>
          <t>2028-08-30</t>
        </is>
      </c>
      <c r="C256" s="40">
        <f>F255</f>
        <v/>
      </c>
      <c r="D256" s="40">
        <f>MAX(0,C256*$B$219/12)</f>
        <v/>
      </c>
      <c r="E256" s="40">
        <f>MAX(0,MIN(C256,$B$218-D256))</f>
        <v/>
      </c>
      <c r="F256" s="40">
        <f>MAX(0,C256-E256)</f>
        <v/>
      </c>
    </row>
    <row r="257">
      <c r="A257" s="34" t="n">
        <v>34</v>
      </c>
      <c r="B257" s="34" t="inlineStr">
        <is>
          <t>2028-09-30</t>
        </is>
      </c>
      <c r="C257" s="40">
        <f>F256</f>
        <v/>
      </c>
      <c r="D257" s="40">
        <f>MAX(0,C257*$B$219/12)</f>
        <v/>
      </c>
      <c r="E257" s="40">
        <f>MAX(0,MIN(C257,$B$218-D257))</f>
        <v/>
      </c>
      <c r="F257" s="40">
        <f>MAX(0,C257-E257)</f>
        <v/>
      </c>
    </row>
    <row r="258">
      <c r="A258" s="34" t="n">
        <v>35</v>
      </c>
      <c r="B258" s="34" t="inlineStr">
        <is>
          <t>2028-10-30</t>
        </is>
      </c>
      <c r="C258" s="40">
        <f>F257</f>
        <v/>
      </c>
      <c r="D258" s="40">
        <f>MAX(0,C258*$B$219/12)</f>
        <v/>
      </c>
      <c r="E258" s="40">
        <f>MAX(0,MIN(C258,$B$218-D258))</f>
        <v/>
      </c>
      <c r="F258" s="40">
        <f>MAX(0,C258-E258)</f>
        <v/>
      </c>
    </row>
    <row r="259">
      <c r="A259" s="34" t="n">
        <v>36</v>
      </c>
      <c r="B259" s="34" t="inlineStr">
        <is>
          <t>2028-11-30</t>
        </is>
      </c>
      <c r="C259" s="40">
        <f>F258</f>
        <v/>
      </c>
      <c r="D259" s="40">
        <f>MAX(0,C259*$B$219/12)</f>
        <v/>
      </c>
      <c r="E259" s="40">
        <f>MAX(0,MIN(C259,$B$218-D259))</f>
        <v/>
      </c>
      <c r="F259" s="40">
        <f>MAX(0,C259-E259)</f>
        <v/>
      </c>
    </row>
    <row r="260">
      <c r="A260" s="34" t="n">
        <v>37</v>
      </c>
      <c r="B260" s="34" t="inlineStr">
        <is>
          <t>2028-12-30</t>
        </is>
      </c>
      <c r="C260" s="40">
        <f>F259</f>
        <v/>
      </c>
      <c r="D260" s="40">
        <f>MAX(0,C260*$B$219/12)</f>
        <v/>
      </c>
      <c r="E260" s="40">
        <f>MAX(0,MIN(C260,$B$218-D260))</f>
        <v/>
      </c>
      <c r="F260" s="40">
        <f>MAX(0,C260-E260)</f>
        <v/>
      </c>
    </row>
    <row r="261">
      <c r="A261" s="62" t="inlineStr">
        <is>
          <t>TOTAL</t>
        </is>
      </c>
      <c r="B261" s="63" t="n"/>
      <c r="C261" s="63" t="n"/>
      <c r="D261" s="64">
        <f>SUM(D224:D260)</f>
        <v/>
      </c>
      <c r="E261" s="64">
        <f>SUM(E224:E260)</f>
        <v/>
      </c>
      <c r="F261" s="63" t="n"/>
    </row>
    <row r="264">
      <c r="A264" s="69" t="inlineStr">
        <is>
          <t>LOAN 7: 1 Peterbilt 579 (May 2023)</t>
        </is>
      </c>
    </row>
    <row r="265">
      <c r="A265" t="inlineStr">
        <is>
          <t>Loan ID:</t>
        </is>
      </c>
      <c r="B265" s="2" t="inlineStr">
        <is>
          <t>05-2934-004-000-00</t>
        </is>
      </c>
    </row>
    <row r="266">
      <c r="A266" t="inlineStr">
        <is>
          <t>Account #:</t>
        </is>
      </c>
      <c r="B266" s="2" t="inlineStr">
        <is>
          <t>9368279001</t>
        </is>
      </c>
    </row>
    <row r="267">
      <c r="A267" t="inlineStr">
        <is>
          <t>Origination Date:</t>
        </is>
      </c>
      <c r="B267" s="2" t="inlineStr">
        <is>
          <t>2023-05-16</t>
        </is>
      </c>
    </row>
    <row r="268">
      <c r="A268" t="inlineStr">
        <is>
          <t>Maturity Date:</t>
        </is>
      </c>
      <c r="B268" s="2" t="inlineStr">
        <is>
          <t>2028-12-01</t>
        </is>
      </c>
    </row>
    <row r="269">
      <c r="A269" t="inlineStr">
        <is>
          <t>Original Balance:</t>
        </is>
      </c>
      <c r="B269" s="3" t="n">
        <v>188397.73</v>
      </c>
    </row>
    <row r="270">
      <c r="A270" t="inlineStr">
        <is>
          <t>Remaining Balance:</t>
        </is>
      </c>
      <c r="B270" s="3" t="n">
        <v>113293</v>
      </c>
    </row>
    <row r="271">
      <c r="A271" t="inlineStr">
        <is>
          <t>Monthly Payment:</t>
        </is>
      </c>
      <c r="B271" s="3" t="n">
        <v>3371.19</v>
      </c>
    </row>
    <row r="272">
      <c r="A272" t="inlineStr">
        <is>
          <t>Annual Rate:</t>
        </is>
      </c>
      <c r="B272" s="4" t="n">
        <v>0.0599</v>
      </c>
    </row>
    <row r="273">
      <c r="A273" t="inlineStr">
        <is>
          <t>Loan Type:</t>
        </is>
      </c>
      <c r="B273" s="2" t="inlineStr">
        <is>
          <t>AMORTIZING</t>
        </is>
      </c>
    </row>
    <row r="274">
      <c r="A274" t="inlineStr">
        <is>
          <t>Use:</t>
        </is>
      </c>
      <c r="B274" s="2" t="inlineStr">
        <is>
          <t>Equipment (Semi trucks)</t>
        </is>
      </c>
    </row>
    <row r="276">
      <c r="A276" s="66" t="inlineStr">
        <is>
          <t>Month #</t>
        </is>
      </c>
      <c r="B276" s="66" t="inlineStr">
        <is>
          <t>Date</t>
        </is>
      </c>
      <c r="C276" s="66" t="inlineStr">
        <is>
          <t>Opening Balance</t>
        </is>
      </c>
      <c r="D276" s="66" t="inlineStr">
        <is>
          <t>Interest</t>
        </is>
      </c>
      <c r="E276" s="66" t="inlineStr">
        <is>
          <t>Principal</t>
        </is>
      </c>
      <c r="F276" s="66" t="inlineStr">
        <is>
          <t>Closing Balance</t>
        </is>
      </c>
    </row>
    <row r="277">
      <c r="A277" s="34" t="n">
        <v>1</v>
      </c>
      <c r="B277" s="34" t="inlineStr">
        <is>
          <t>2025-12-30</t>
        </is>
      </c>
      <c r="C277" s="40">
        <f>$B$270</f>
        <v/>
      </c>
      <c r="D277" s="40">
        <f>MAX(0,C277*$B$272/12)</f>
        <v/>
      </c>
      <c r="E277" s="40">
        <f>MAX(0,MIN(C277,$B$271-D277))</f>
        <v/>
      </c>
      <c r="F277" s="40">
        <f>MAX(0,C277-E277)</f>
        <v/>
      </c>
    </row>
    <row r="278">
      <c r="A278" s="34" t="n">
        <v>2</v>
      </c>
      <c r="B278" s="34" t="inlineStr">
        <is>
          <t>2026-01-30</t>
        </is>
      </c>
      <c r="C278" s="40">
        <f>F277</f>
        <v/>
      </c>
      <c r="D278" s="40">
        <f>MAX(0,C278*$B$272/12)</f>
        <v/>
      </c>
      <c r="E278" s="40">
        <f>MAX(0,MIN(C278,$B$271-D278))</f>
        <v/>
      </c>
      <c r="F278" s="40">
        <f>MAX(0,C278-E278)</f>
        <v/>
      </c>
    </row>
    <row r="279">
      <c r="A279" s="34" t="n">
        <v>3</v>
      </c>
      <c r="B279" s="34" t="inlineStr">
        <is>
          <t>2026-02-28</t>
        </is>
      </c>
      <c r="C279" s="40">
        <f>F278</f>
        <v/>
      </c>
      <c r="D279" s="40">
        <f>MAX(0,C279*$B$272/12)</f>
        <v/>
      </c>
      <c r="E279" s="40">
        <f>MAX(0,MIN(C279,$B$271-D279))</f>
        <v/>
      </c>
      <c r="F279" s="40">
        <f>MAX(0,C279-E279)</f>
        <v/>
      </c>
    </row>
    <row r="280">
      <c r="A280" s="34" t="n">
        <v>4</v>
      </c>
      <c r="B280" s="34" t="inlineStr">
        <is>
          <t>2026-03-30</t>
        </is>
      </c>
      <c r="C280" s="40">
        <f>F279</f>
        <v/>
      </c>
      <c r="D280" s="40">
        <f>MAX(0,C280*$B$272/12)</f>
        <v/>
      </c>
      <c r="E280" s="40">
        <f>MAX(0,MIN(C280,$B$271-D280))</f>
        <v/>
      </c>
      <c r="F280" s="40">
        <f>MAX(0,C280-E280)</f>
        <v/>
      </c>
    </row>
    <row r="281">
      <c r="A281" s="34" t="n">
        <v>5</v>
      </c>
      <c r="B281" s="34" t="inlineStr">
        <is>
          <t>2026-04-30</t>
        </is>
      </c>
      <c r="C281" s="40">
        <f>F280</f>
        <v/>
      </c>
      <c r="D281" s="40">
        <f>MAX(0,C281*$B$272/12)</f>
        <v/>
      </c>
      <c r="E281" s="40">
        <f>MAX(0,MIN(C281,$B$271-D281))</f>
        <v/>
      </c>
      <c r="F281" s="40">
        <f>MAX(0,C281-E281)</f>
        <v/>
      </c>
    </row>
    <row r="282">
      <c r="A282" s="34" t="n">
        <v>6</v>
      </c>
      <c r="B282" s="34" t="inlineStr">
        <is>
          <t>2026-05-30</t>
        </is>
      </c>
      <c r="C282" s="40">
        <f>F281</f>
        <v/>
      </c>
      <c r="D282" s="40">
        <f>MAX(0,C282*$B$272/12)</f>
        <v/>
      </c>
      <c r="E282" s="40">
        <f>MAX(0,MIN(C282,$B$271-D282))</f>
        <v/>
      </c>
      <c r="F282" s="40">
        <f>MAX(0,C282-E282)</f>
        <v/>
      </c>
    </row>
    <row r="283">
      <c r="A283" s="34" t="n">
        <v>7</v>
      </c>
      <c r="B283" s="34" t="inlineStr">
        <is>
          <t>2026-06-30</t>
        </is>
      </c>
      <c r="C283" s="40">
        <f>F282</f>
        <v/>
      </c>
      <c r="D283" s="40">
        <f>MAX(0,C283*$B$272/12)</f>
        <v/>
      </c>
      <c r="E283" s="40">
        <f>MAX(0,MIN(C283,$B$271-D283))</f>
        <v/>
      </c>
      <c r="F283" s="40">
        <f>MAX(0,C283-E283)</f>
        <v/>
      </c>
    </row>
    <row r="284">
      <c r="A284" s="34" t="n">
        <v>8</v>
      </c>
      <c r="B284" s="34" t="inlineStr">
        <is>
          <t>2026-07-30</t>
        </is>
      </c>
      <c r="C284" s="40">
        <f>F283</f>
        <v/>
      </c>
      <c r="D284" s="40">
        <f>MAX(0,C284*$B$272/12)</f>
        <v/>
      </c>
      <c r="E284" s="40">
        <f>MAX(0,MIN(C284,$B$271-D284))</f>
        <v/>
      </c>
      <c r="F284" s="40">
        <f>MAX(0,C284-E284)</f>
        <v/>
      </c>
    </row>
    <row r="285">
      <c r="A285" s="34" t="n">
        <v>9</v>
      </c>
      <c r="B285" s="34" t="inlineStr">
        <is>
          <t>2026-08-30</t>
        </is>
      </c>
      <c r="C285" s="40">
        <f>F284</f>
        <v/>
      </c>
      <c r="D285" s="40">
        <f>MAX(0,C285*$B$272/12)</f>
        <v/>
      </c>
      <c r="E285" s="40">
        <f>MAX(0,MIN(C285,$B$271-D285))</f>
        <v/>
      </c>
      <c r="F285" s="40">
        <f>MAX(0,C285-E285)</f>
        <v/>
      </c>
    </row>
    <row r="286">
      <c r="A286" s="34" t="n">
        <v>10</v>
      </c>
      <c r="B286" s="34" t="inlineStr">
        <is>
          <t>2026-09-30</t>
        </is>
      </c>
      <c r="C286" s="40">
        <f>F285</f>
        <v/>
      </c>
      <c r="D286" s="40">
        <f>MAX(0,C286*$B$272/12)</f>
        <v/>
      </c>
      <c r="E286" s="40">
        <f>MAX(0,MIN(C286,$B$271-D286))</f>
        <v/>
      </c>
      <c r="F286" s="40">
        <f>MAX(0,C286-E286)</f>
        <v/>
      </c>
    </row>
    <row r="287">
      <c r="A287" s="34" t="n">
        <v>11</v>
      </c>
      <c r="B287" s="34" t="inlineStr">
        <is>
          <t>2026-10-30</t>
        </is>
      </c>
      <c r="C287" s="40">
        <f>F286</f>
        <v/>
      </c>
      <c r="D287" s="40">
        <f>MAX(0,C287*$B$272/12)</f>
        <v/>
      </c>
      <c r="E287" s="40">
        <f>MAX(0,MIN(C287,$B$271-D287))</f>
        <v/>
      </c>
      <c r="F287" s="40">
        <f>MAX(0,C287-E287)</f>
        <v/>
      </c>
    </row>
    <row r="288">
      <c r="A288" s="34" t="n">
        <v>12</v>
      </c>
      <c r="B288" s="34" t="inlineStr">
        <is>
          <t>2026-11-30</t>
        </is>
      </c>
      <c r="C288" s="40">
        <f>F287</f>
        <v/>
      </c>
      <c r="D288" s="40">
        <f>MAX(0,C288*$B$272/12)</f>
        <v/>
      </c>
      <c r="E288" s="40">
        <f>MAX(0,MIN(C288,$B$271-D288))</f>
        <v/>
      </c>
      <c r="F288" s="40">
        <f>MAX(0,C288-E288)</f>
        <v/>
      </c>
    </row>
    <row r="289">
      <c r="A289" s="34" t="n">
        <v>13</v>
      </c>
      <c r="B289" s="34" t="inlineStr">
        <is>
          <t>2026-12-30</t>
        </is>
      </c>
      <c r="C289" s="40">
        <f>F288</f>
        <v/>
      </c>
      <c r="D289" s="40">
        <f>MAX(0,C289*$B$272/12)</f>
        <v/>
      </c>
      <c r="E289" s="40">
        <f>MAX(0,MIN(C289,$B$271-D289))</f>
        <v/>
      </c>
      <c r="F289" s="40">
        <f>MAX(0,C289-E289)</f>
        <v/>
      </c>
    </row>
    <row r="290">
      <c r="A290" s="34" t="n">
        <v>14</v>
      </c>
      <c r="B290" s="34" t="inlineStr">
        <is>
          <t>2027-01-30</t>
        </is>
      </c>
      <c r="C290" s="40">
        <f>F289</f>
        <v/>
      </c>
      <c r="D290" s="40">
        <f>MAX(0,C290*$B$272/12)</f>
        <v/>
      </c>
      <c r="E290" s="40">
        <f>MAX(0,MIN(C290,$B$271-D290))</f>
        <v/>
      </c>
      <c r="F290" s="40">
        <f>MAX(0,C290-E290)</f>
        <v/>
      </c>
    </row>
    <row r="291">
      <c r="A291" s="34" t="n">
        <v>15</v>
      </c>
      <c r="B291" s="34" t="inlineStr">
        <is>
          <t>2027-02-28</t>
        </is>
      </c>
      <c r="C291" s="40">
        <f>F290</f>
        <v/>
      </c>
      <c r="D291" s="40">
        <f>MAX(0,C291*$B$272/12)</f>
        <v/>
      </c>
      <c r="E291" s="40">
        <f>MAX(0,MIN(C291,$B$271-D291))</f>
        <v/>
      </c>
      <c r="F291" s="40">
        <f>MAX(0,C291-E291)</f>
        <v/>
      </c>
    </row>
    <row r="292">
      <c r="A292" s="34" t="n">
        <v>16</v>
      </c>
      <c r="B292" s="34" t="inlineStr">
        <is>
          <t>2027-03-30</t>
        </is>
      </c>
      <c r="C292" s="40">
        <f>F291</f>
        <v/>
      </c>
      <c r="D292" s="40">
        <f>MAX(0,C292*$B$272/12)</f>
        <v/>
      </c>
      <c r="E292" s="40">
        <f>MAX(0,MIN(C292,$B$271-D292))</f>
        <v/>
      </c>
      <c r="F292" s="40">
        <f>MAX(0,C292-E292)</f>
        <v/>
      </c>
    </row>
    <row r="293">
      <c r="A293" s="34" t="n">
        <v>17</v>
      </c>
      <c r="B293" s="34" t="inlineStr">
        <is>
          <t>2027-04-30</t>
        </is>
      </c>
      <c r="C293" s="40">
        <f>F292</f>
        <v/>
      </c>
      <c r="D293" s="40">
        <f>MAX(0,C293*$B$272/12)</f>
        <v/>
      </c>
      <c r="E293" s="40">
        <f>MAX(0,MIN(C293,$B$271-D293))</f>
        <v/>
      </c>
      <c r="F293" s="40">
        <f>MAX(0,C293-E293)</f>
        <v/>
      </c>
    </row>
    <row r="294">
      <c r="A294" s="34" t="n">
        <v>18</v>
      </c>
      <c r="B294" s="34" t="inlineStr">
        <is>
          <t>2027-05-30</t>
        </is>
      </c>
      <c r="C294" s="40">
        <f>F293</f>
        <v/>
      </c>
      <c r="D294" s="40">
        <f>MAX(0,C294*$B$272/12)</f>
        <v/>
      </c>
      <c r="E294" s="40">
        <f>MAX(0,MIN(C294,$B$271-D294))</f>
        <v/>
      </c>
      <c r="F294" s="40">
        <f>MAX(0,C294-E294)</f>
        <v/>
      </c>
    </row>
    <row r="295">
      <c r="A295" s="34" t="n">
        <v>19</v>
      </c>
      <c r="B295" s="34" t="inlineStr">
        <is>
          <t>2027-06-30</t>
        </is>
      </c>
      <c r="C295" s="40">
        <f>F294</f>
        <v/>
      </c>
      <c r="D295" s="40">
        <f>MAX(0,C295*$B$272/12)</f>
        <v/>
      </c>
      <c r="E295" s="40">
        <f>MAX(0,MIN(C295,$B$271-D295))</f>
        <v/>
      </c>
      <c r="F295" s="40">
        <f>MAX(0,C295-E295)</f>
        <v/>
      </c>
    </row>
    <row r="296">
      <c r="A296" s="34" t="n">
        <v>20</v>
      </c>
      <c r="B296" s="34" t="inlineStr">
        <is>
          <t>2027-07-30</t>
        </is>
      </c>
      <c r="C296" s="40">
        <f>F295</f>
        <v/>
      </c>
      <c r="D296" s="40">
        <f>MAX(0,C296*$B$272/12)</f>
        <v/>
      </c>
      <c r="E296" s="40">
        <f>MAX(0,MIN(C296,$B$271-D296))</f>
        <v/>
      </c>
      <c r="F296" s="40">
        <f>MAX(0,C296-E296)</f>
        <v/>
      </c>
    </row>
    <row r="297">
      <c r="A297" s="34" t="n">
        <v>21</v>
      </c>
      <c r="B297" s="34" t="inlineStr">
        <is>
          <t>2027-08-30</t>
        </is>
      </c>
      <c r="C297" s="40">
        <f>F296</f>
        <v/>
      </c>
      <c r="D297" s="40">
        <f>MAX(0,C297*$B$272/12)</f>
        <v/>
      </c>
      <c r="E297" s="40">
        <f>MAX(0,MIN(C297,$B$271-D297))</f>
        <v/>
      </c>
      <c r="F297" s="40">
        <f>MAX(0,C297-E297)</f>
        <v/>
      </c>
    </row>
    <row r="298">
      <c r="A298" s="34" t="n">
        <v>22</v>
      </c>
      <c r="B298" s="34" t="inlineStr">
        <is>
          <t>2027-09-30</t>
        </is>
      </c>
      <c r="C298" s="40">
        <f>F297</f>
        <v/>
      </c>
      <c r="D298" s="40">
        <f>MAX(0,C298*$B$272/12)</f>
        <v/>
      </c>
      <c r="E298" s="40">
        <f>MAX(0,MIN(C298,$B$271-D298))</f>
        <v/>
      </c>
      <c r="F298" s="40">
        <f>MAX(0,C298-E298)</f>
        <v/>
      </c>
    </row>
    <row r="299">
      <c r="A299" s="34" t="n">
        <v>23</v>
      </c>
      <c r="B299" s="34" t="inlineStr">
        <is>
          <t>2027-10-30</t>
        </is>
      </c>
      <c r="C299" s="40">
        <f>F298</f>
        <v/>
      </c>
      <c r="D299" s="40">
        <f>MAX(0,C299*$B$272/12)</f>
        <v/>
      </c>
      <c r="E299" s="40">
        <f>MAX(0,MIN(C299,$B$271-D299))</f>
        <v/>
      </c>
      <c r="F299" s="40">
        <f>MAX(0,C299-E299)</f>
        <v/>
      </c>
    </row>
    <row r="300">
      <c r="A300" s="34" t="n">
        <v>24</v>
      </c>
      <c r="B300" s="34" t="inlineStr">
        <is>
          <t>2027-11-30</t>
        </is>
      </c>
      <c r="C300" s="40">
        <f>F299</f>
        <v/>
      </c>
      <c r="D300" s="40">
        <f>MAX(0,C300*$B$272/12)</f>
        <v/>
      </c>
      <c r="E300" s="40">
        <f>MAX(0,MIN(C300,$B$271-D300))</f>
        <v/>
      </c>
      <c r="F300" s="40">
        <f>MAX(0,C300-E300)</f>
        <v/>
      </c>
    </row>
    <row r="301">
      <c r="A301" s="34" t="n">
        <v>25</v>
      </c>
      <c r="B301" s="34" t="inlineStr">
        <is>
          <t>2027-12-30</t>
        </is>
      </c>
      <c r="C301" s="40">
        <f>F300</f>
        <v/>
      </c>
      <c r="D301" s="40">
        <f>MAX(0,C301*$B$272/12)</f>
        <v/>
      </c>
      <c r="E301" s="40">
        <f>MAX(0,MIN(C301,$B$271-D301))</f>
        <v/>
      </c>
      <c r="F301" s="40">
        <f>MAX(0,C301-E301)</f>
        <v/>
      </c>
    </row>
    <row r="302">
      <c r="A302" s="34" t="n">
        <v>26</v>
      </c>
      <c r="B302" s="34" t="inlineStr">
        <is>
          <t>2028-01-30</t>
        </is>
      </c>
      <c r="C302" s="40">
        <f>F301</f>
        <v/>
      </c>
      <c r="D302" s="40">
        <f>MAX(0,C302*$B$272/12)</f>
        <v/>
      </c>
      <c r="E302" s="40">
        <f>MAX(0,MIN(C302,$B$271-D302))</f>
        <v/>
      </c>
      <c r="F302" s="40">
        <f>MAX(0,C302-E302)</f>
        <v/>
      </c>
    </row>
    <row r="303">
      <c r="A303" s="34" t="n">
        <v>27</v>
      </c>
      <c r="B303" s="34" t="inlineStr">
        <is>
          <t>2028-02-29</t>
        </is>
      </c>
      <c r="C303" s="40">
        <f>F302</f>
        <v/>
      </c>
      <c r="D303" s="40">
        <f>MAX(0,C303*$B$272/12)</f>
        <v/>
      </c>
      <c r="E303" s="40">
        <f>MAX(0,MIN(C303,$B$271-D303))</f>
        <v/>
      </c>
      <c r="F303" s="40">
        <f>MAX(0,C303-E303)</f>
        <v/>
      </c>
    </row>
    <row r="304">
      <c r="A304" s="34" t="n">
        <v>28</v>
      </c>
      <c r="B304" s="34" t="inlineStr">
        <is>
          <t>2028-03-30</t>
        </is>
      </c>
      <c r="C304" s="40">
        <f>F303</f>
        <v/>
      </c>
      <c r="D304" s="40">
        <f>MAX(0,C304*$B$272/12)</f>
        <v/>
      </c>
      <c r="E304" s="40">
        <f>MAX(0,MIN(C304,$B$271-D304))</f>
        <v/>
      </c>
      <c r="F304" s="40">
        <f>MAX(0,C304-E304)</f>
        <v/>
      </c>
    </row>
    <row r="305">
      <c r="A305" s="34" t="n">
        <v>29</v>
      </c>
      <c r="B305" s="34" t="inlineStr">
        <is>
          <t>2028-04-30</t>
        </is>
      </c>
      <c r="C305" s="40">
        <f>F304</f>
        <v/>
      </c>
      <c r="D305" s="40">
        <f>MAX(0,C305*$B$272/12)</f>
        <v/>
      </c>
      <c r="E305" s="40">
        <f>MAX(0,MIN(C305,$B$271-D305))</f>
        <v/>
      </c>
      <c r="F305" s="40">
        <f>MAX(0,C305-E305)</f>
        <v/>
      </c>
    </row>
    <row r="306">
      <c r="A306" s="34" t="n">
        <v>30</v>
      </c>
      <c r="B306" s="34" t="inlineStr">
        <is>
          <t>2028-05-30</t>
        </is>
      </c>
      <c r="C306" s="40">
        <f>F305</f>
        <v/>
      </c>
      <c r="D306" s="40">
        <f>MAX(0,C306*$B$272/12)</f>
        <v/>
      </c>
      <c r="E306" s="40">
        <f>MAX(0,MIN(C306,$B$271-D306))</f>
        <v/>
      </c>
      <c r="F306" s="40">
        <f>MAX(0,C306-E306)</f>
        <v/>
      </c>
    </row>
    <row r="307">
      <c r="A307" s="34" t="n">
        <v>31</v>
      </c>
      <c r="B307" s="34" t="inlineStr">
        <is>
          <t>2028-06-30</t>
        </is>
      </c>
      <c r="C307" s="40">
        <f>F306</f>
        <v/>
      </c>
      <c r="D307" s="40">
        <f>MAX(0,C307*$B$272/12)</f>
        <v/>
      </c>
      <c r="E307" s="40">
        <f>MAX(0,MIN(C307,$B$271-D307))</f>
        <v/>
      </c>
      <c r="F307" s="40">
        <f>MAX(0,C307-E307)</f>
        <v/>
      </c>
    </row>
    <row r="308">
      <c r="A308" s="34" t="n">
        <v>32</v>
      </c>
      <c r="B308" s="34" t="inlineStr">
        <is>
          <t>2028-07-30</t>
        </is>
      </c>
      <c r="C308" s="40">
        <f>F307</f>
        <v/>
      </c>
      <c r="D308" s="40">
        <f>MAX(0,C308*$B$272/12)</f>
        <v/>
      </c>
      <c r="E308" s="40">
        <f>MAX(0,MIN(C308,$B$271-D308))</f>
        <v/>
      </c>
      <c r="F308" s="40">
        <f>MAX(0,C308-E308)</f>
        <v/>
      </c>
    </row>
    <row r="309">
      <c r="A309" s="34" t="n">
        <v>33</v>
      </c>
      <c r="B309" s="34" t="inlineStr">
        <is>
          <t>2028-08-30</t>
        </is>
      </c>
      <c r="C309" s="40">
        <f>F308</f>
        <v/>
      </c>
      <c r="D309" s="40">
        <f>MAX(0,C309*$B$272/12)</f>
        <v/>
      </c>
      <c r="E309" s="40">
        <f>MAX(0,MIN(C309,$B$271-D309))</f>
        <v/>
      </c>
      <c r="F309" s="40">
        <f>MAX(0,C309-E309)</f>
        <v/>
      </c>
    </row>
    <row r="310">
      <c r="A310" s="34" t="n">
        <v>34</v>
      </c>
      <c r="B310" s="34" t="inlineStr">
        <is>
          <t>2028-09-30</t>
        </is>
      </c>
      <c r="C310" s="40">
        <f>F309</f>
        <v/>
      </c>
      <c r="D310" s="40">
        <f>MAX(0,C310*$B$272/12)</f>
        <v/>
      </c>
      <c r="E310" s="40">
        <f>MAX(0,MIN(C310,$B$271-D310))</f>
        <v/>
      </c>
      <c r="F310" s="40">
        <f>MAX(0,C310-E310)</f>
        <v/>
      </c>
    </row>
    <row r="311">
      <c r="A311" s="34" t="n">
        <v>35</v>
      </c>
      <c r="B311" s="34" t="inlineStr">
        <is>
          <t>2028-10-30</t>
        </is>
      </c>
      <c r="C311" s="40">
        <f>F310</f>
        <v/>
      </c>
      <c r="D311" s="40">
        <f>MAX(0,C311*$B$272/12)</f>
        <v/>
      </c>
      <c r="E311" s="40">
        <f>MAX(0,MIN(C311,$B$271-D311))</f>
        <v/>
      </c>
      <c r="F311" s="40">
        <f>MAX(0,C311-E311)</f>
        <v/>
      </c>
    </row>
    <row r="312">
      <c r="A312" s="34" t="n">
        <v>36</v>
      </c>
      <c r="B312" s="34" t="inlineStr">
        <is>
          <t>2028-11-30</t>
        </is>
      </c>
      <c r="C312" s="40">
        <f>F311</f>
        <v/>
      </c>
      <c r="D312" s="40">
        <f>MAX(0,C312*$B$272/12)</f>
        <v/>
      </c>
      <c r="E312" s="40">
        <f>MAX(0,MIN(C312,$B$271-D312))</f>
        <v/>
      </c>
      <c r="F312" s="40">
        <f>MAX(0,C312-E312)</f>
        <v/>
      </c>
    </row>
    <row r="313">
      <c r="A313" s="34" t="n">
        <v>37</v>
      </c>
      <c r="B313" s="34" t="inlineStr">
        <is>
          <t>2028-12-30</t>
        </is>
      </c>
      <c r="C313" s="40">
        <f>F312</f>
        <v/>
      </c>
      <c r="D313" s="40">
        <f>MAX(0,C313*$B$272/12)</f>
        <v/>
      </c>
      <c r="E313" s="40">
        <f>MAX(0,MIN(C313,$B$271-D313))</f>
        <v/>
      </c>
      <c r="F313" s="40">
        <f>MAX(0,C313-E313)</f>
        <v/>
      </c>
    </row>
    <row r="314">
      <c r="A314" s="62" t="inlineStr">
        <is>
          <t>TOTAL</t>
        </is>
      </c>
      <c r="B314" s="63" t="n"/>
      <c r="C314" s="63" t="n"/>
      <c r="D314" s="64">
        <f>SUM(D277:D313)</f>
        <v/>
      </c>
      <c r="E314" s="64">
        <f>SUM(E277:E313)</f>
        <v/>
      </c>
      <c r="F314" s="63" t="n"/>
    </row>
    <row r="317">
      <c r="A317" s="69" t="inlineStr">
        <is>
          <t>LOAN 8: 3 Peterbilt 579 (June 2023)</t>
        </is>
      </c>
    </row>
    <row r="318">
      <c r="A318" t="inlineStr">
        <is>
          <t>Loan ID:</t>
        </is>
      </c>
      <c r="B318" s="2" t="inlineStr">
        <is>
          <t>05-2934-005-000-00</t>
        </is>
      </c>
    </row>
    <row r="319">
      <c r="A319" t="inlineStr">
        <is>
          <t>Account #:</t>
        </is>
      </c>
      <c r="B319" s="2" t="inlineStr">
        <is>
          <t>9369093001</t>
        </is>
      </c>
    </row>
    <row r="320">
      <c r="A320" t="inlineStr">
        <is>
          <t>Origination Date:</t>
        </is>
      </c>
      <c r="B320" s="2" t="inlineStr">
        <is>
          <t>2023-06-15</t>
        </is>
      </c>
    </row>
    <row r="321">
      <c r="A321" t="inlineStr">
        <is>
          <t>Maturity Date:</t>
        </is>
      </c>
      <c r="B321" s="2" t="inlineStr">
        <is>
          <t>2029-01-01</t>
        </is>
      </c>
    </row>
    <row r="322">
      <c r="A322" t="inlineStr">
        <is>
          <t>Original Balance:</t>
        </is>
      </c>
      <c r="B322" s="3" t="n">
        <v>564293.1899999999</v>
      </c>
    </row>
    <row r="323">
      <c r="A323" t="inlineStr">
        <is>
          <t>Remaining Balance:</t>
        </is>
      </c>
      <c r="B323" s="3" t="n">
        <v>350474</v>
      </c>
    </row>
    <row r="324">
      <c r="A324" t="inlineStr">
        <is>
          <t>Monthly Payment:</t>
        </is>
      </c>
      <c r="B324" s="3" t="n">
        <v>10209.23</v>
      </c>
    </row>
    <row r="325">
      <c r="A325" t="inlineStr">
        <is>
          <t>Annual Rate:</t>
        </is>
      </c>
      <c r="B325" s="4" t="n">
        <v>0.0639</v>
      </c>
    </row>
    <row r="326">
      <c r="A326" t="inlineStr">
        <is>
          <t>Loan Type:</t>
        </is>
      </c>
      <c r="B326" s="2" t="inlineStr">
        <is>
          <t>AMORTIZING</t>
        </is>
      </c>
    </row>
    <row r="327">
      <c r="A327" t="inlineStr">
        <is>
          <t>Use:</t>
        </is>
      </c>
      <c r="B327" s="2" t="inlineStr">
        <is>
          <t>Equipment (Semi trucks)</t>
        </is>
      </c>
    </row>
    <row r="329">
      <c r="A329" s="66" t="inlineStr">
        <is>
          <t>Month #</t>
        </is>
      </c>
      <c r="B329" s="66" t="inlineStr">
        <is>
          <t>Date</t>
        </is>
      </c>
      <c r="C329" s="66" t="inlineStr">
        <is>
          <t>Opening Balance</t>
        </is>
      </c>
      <c r="D329" s="66" t="inlineStr">
        <is>
          <t>Interest</t>
        </is>
      </c>
      <c r="E329" s="66" t="inlineStr">
        <is>
          <t>Principal</t>
        </is>
      </c>
      <c r="F329" s="66" t="inlineStr">
        <is>
          <t>Closing Balance</t>
        </is>
      </c>
    </row>
    <row r="330">
      <c r="A330" s="34" t="n">
        <v>1</v>
      </c>
      <c r="B330" s="34" t="inlineStr">
        <is>
          <t>2025-12-30</t>
        </is>
      </c>
      <c r="C330" s="40">
        <f>$B$323</f>
        <v/>
      </c>
      <c r="D330" s="40">
        <f>MAX(0,C330*$B$325/12)</f>
        <v/>
      </c>
      <c r="E330" s="40">
        <f>MAX(0,MIN(C330,$B$324-D330))</f>
        <v/>
      </c>
      <c r="F330" s="40">
        <f>MAX(0,C330-E330)</f>
        <v/>
      </c>
    </row>
    <row r="331">
      <c r="A331" s="34" t="n">
        <v>2</v>
      </c>
      <c r="B331" s="34" t="inlineStr">
        <is>
          <t>2026-01-30</t>
        </is>
      </c>
      <c r="C331" s="40">
        <f>F330</f>
        <v/>
      </c>
      <c r="D331" s="40">
        <f>MAX(0,C331*$B$325/12)</f>
        <v/>
      </c>
      <c r="E331" s="40">
        <f>MAX(0,MIN(C331,$B$324-D331))</f>
        <v/>
      </c>
      <c r="F331" s="40">
        <f>MAX(0,C331-E331)</f>
        <v/>
      </c>
    </row>
    <row r="332">
      <c r="A332" s="34" t="n">
        <v>3</v>
      </c>
      <c r="B332" s="34" t="inlineStr">
        <is>
          <t>2026-02-28</t>
        </is>
      </c>
      <c r="C332" s="40">
        <f>F331</f>
        <v/>
      </c>
      <c r="D332" s="40">
        <f>MAX(0,C332*$B$325/12)</f>
        <v/>
      </c>
      <c r="E332" s="40">
        <f>MAX(0,MIN(C332,$B$324-D332))</f>
        <v/>
      </c>
      <c r="F332" s="40">
        <f>MAX(0,C332-E332)</f>
        <v/>
      </c>
    </row>
    <row r="333">
      <c r="A333" s="34" t="n">
        <v>4</v>
      </c>
      <c r="B333" s="34" t="inlineStr">
        <is>
          <t>2026-03-30</t>
        </is>
      </c>
      <c r="C333" s="40">
        <f>F332</f>
        <v/>
      </c>
      <c r="D333" s="40">
        <f>MAX(0,C333*$B$325/12)</f>
        <v/>
      </c>
      <c r="E333" s="40">
        <f>MAX(0,MIN(C333,$B$324-D333))</f>
        <v/>
      </c>
      <c r="F333" s="40">
        <f>MAX(0,C333-E333)</f>
        <v/>
      </c>
    </row>
    <row r="334">
      <c r="A334" s="34" t="n">
        <v>5</v>
      </c>
      <c r="B334" s="34" t="inlineStr">
        <is>
          <t>2026-04-30</t>
        </is>
      </c>
      <c r="C334" s="40">
        <f>F333</f>
        <v/>
      </c>
      <c r="D334" s="40">
        <f>MAX(0,C334*$B$325/12)</f>
        <v/>
      </c>
      <c r="E334" s="40">
        <f>MAX(0,MIN(C334,$B$324-D334))</f>
        <v/>
      </c>
      <c r="F334" s="40">
        <f>MAX(0,C334-E334)</f>
        <v/>
      </c>
    </row>
    <row r="335">
      <c r="A335" s="34" t="n">
        <v>6</v>
      </c>
      <c r="B335" s="34" t="inlineStr">
        <is>
          <t>2026-05-30</t>
        </is>
      </c>
      <c r="C335" s="40">
        <f>F334</f>
        <v/>
      </c>
      <c r="D335" s="40">
        <f>MAX(0,C335*$B$325/12)</f>
        <v/>
      </c>
      <c r="E335" s="40">
        <f>MAX(0,MIN(C335,$B$324-D335))</f>
        <v/>
      </c>
      <c r="F335" s="40">
        <f>MAX(0,C335-E335)</f>
        <v/>
      </c>
    </row>
    <row r="336">
      <c r="A336" s="34" t="n">
        <v>7</v>
      </c>
      <c r="B336" s="34" t="inlineStr">
        <is>
          <t>2026-06-30</t>
        </is>
      </c>
      <c r="C336" s="40">
        <f>F335</f>
        <v/>
      </c>
      <c r="D336" s="40">
        <f>MAX(0,C336*$B$325/12)</f>
        <v/>
      </c>
      <c r="E336" s="40">
        <f>MAX(0,MIN(C336,$B$324-D336))</f>
        <v/>
      </c>
      <c r="F336" s="40">
        <f>MAX(0,C336-E336)</f>
        <v/>
      </c>
    </row>
    <row r="337">
      <c r="A337" s="34" t="n">
        <v>8</v>
      </c>
      <c r="B337" s="34" t="inlineStr">
        <is>
          <t>2026-07-30</t>
        </is>
      </c>
      <c r="C337" s="40">
        <f>F336</f>
        <v/>
      </c>
      <c r="D337" s="40">
        <f>MAX(0,C337*$B$325/12)</f>
        <v/>
      </c>
      <c r="E337" s="40">
        <f>MAX(0,MIN(C337,$B$324-D337))</f>
        <v/>
      </c>
      <c r="F337" s="40">
        <f>MAX(0,C337-E337)</f>
        <v/>
      </c>
    </row>
    <row r="338">
      <c r="A338" s="34" t="n">
        <v>9</v>
      </c>
      <c r="B338" s="34" t="inlineStr">
        <is>
          <t>2026-08-30</t>
        </is>
      </c>
      <c r="C338" s="40">
        <f>F337</f>
        <v/>
      </c>
      <c r="D338" s="40">
        <f>MAX(0,C338*$B$325/12)</f>
        <v/>
      </c>
      <c r="E338" s="40">
        <f>MAX(0,MIN(C338,$B$324-D338))</f>
        <v/>
      </c>
      <c r="F338" s="40">
        <f>MAX(0,C338-E338)</f>
        <v/>
      </c>
    </row>
    <row r="339">
      <c r="A339" s="34" t="n">
        <v>10</v>
      </c>
      <c r="B339" s="34" t="inlineStr">
        <is>
          <t>2026-09-30</t>
        </is>
      </c>
      <c r="C339" s="40">
        <f>F338</f>
        <v/>
      </c>
      <c r="D339" s="40">
        <f>MAX(0,C339*$B$325/12)</f>
        <v/>
      </c>
      <c r="E339" s="40">
        <f>MAX(0,MIN(C339,$B$324-D339))</f>
        <v/>
      </c>
      <c r="F339" s="40">
        <f>MAX(0,C339-E339)</f>
        <v/>
      </c>
    </row>
    <row r="340">
      <c r="A340" s="34" t="n">
        <v>11</v>
      </c>
      <c r="B340" s="34" t="inlineStr">
        <is>
          <t>2026-10-30</t>
        </is>
      </c>
      <c r="C340" s="40">
        <f>F339</f>
        <v/>
      </c>
      <c r="D340" s="40">
        <f>MAX(0,C340*$B$325/12)</f>
        <v/>
      </c>
      <c r="E340" s="40">
        <f>MAX(0,MIN(C340,$B$324-D340))</f>
        <v/>
      </c>
      <c r="F340" s="40">
        <f>MAX(0,C340-E340)</f>
        <v/>
      </c>
    </row>
    <row r="341">
      <c r="A341" s="34" t="n">
        <v>12</v>
      </c>
      <c r="B341" s="34" t="inlineStr">
        <is>
          <t>2026-11-30</t>
        </is>
      </c>
      <c r="C341" s="40">
        <f>F340</f>
        <v/>
      </c>
      <c r="D341" s="40">
        <f>MAX(0,C341*$B$325/12)</f>
        <v/>
      </c>
      <c r="E341" s="40">
        <f>MAX(0,MIN(C341,$B$324-D341))</f>
        <v/>
      </c>
      <c r="F341" s="40">
        <f>MAX(0,C341-E341)</f>
        <v/>
      </c>
    </row>
    <row r="342">
      <c r="A342" s="34" t="n">
        <v>13</v>
      </c>
      <c r="B342" s="34" t="inlineStr">
        <is>
          <t>2026-12-30</t>
        </is>
      </c>
      <c r="C342" s="40">
        <f>F341</f>
        <v/>
      </c>
      <c r="D342" s="40">
        <f>MAX(0,C342*$B$325/12)</f>
        <v/>
      </c>
      <c r="E342" s="40">
        <f>MAX(0,MIN(C342,$B$324-D342))</f>
        <v/>
      </c>
      <c r="F342" s="40">
        <f>MAX(0,C342-E342)</f>
        <v/>
      </c>
    </row>
    <row r="343">
      <c r="A343" s="34" t="n">
        <v>14</v>
      </c>
      <c r="B343" s="34" t="inlineStr">
        <is>
          <t>2027-01-30</t>
        </is>
      </c>
      <c r="C343" s="40">
        <f>F342</f>
        <v/>
      </c>
      <c r="D343" s="40">
        <f>MAX(0,C343*$B$325/12)</f>
        <v/>
      </c>
      <c r="E343" s="40">
        <f>MAX(0,MIN(C343,$B$324-D343))</f>
        <v/>
      </c>
      <c r="F343" s="40">
        <f>MAX(0,C343-E343)</f>
        <v/>
      </c>
    </row>
    <row r="344">
      <c r="A344" s="34" t="n">
        <v>15</v>
      </c>
      <c r="B344" s="34" t="inlineStr">
        <is>
          <t>2027-02-28</t>
        </is>
      </c>
      <c r="C344" s="40">
        <f>F343</f>
        <v/>
      </c>
      <c r="D344" s="40">
        <f>MAX(0,C344*$B$325/12)</f>
        <v/>
      </c>
      <c r="E344" s="40">
        <f>MAX(0,MIN(C344,$B$324-D344))</f>
        <v/>
      </c>
      <c r="F344" s="40">
        <f>MAX(0,C344-E344)</f>
        <v/>
      </c>
    </row>
    <row r="345">
      <c r="A345" s="34" t="n">
        <v>16</v>
      </c>
      <c r="B345" s="34" t="inlineStr">
        <is>
          <t>2027-03-30</t>
        </is>
      </c>
      <c r="C345" s="40">
        <f>F344</f>
        <v/>
      </c>
      <c r="D345" s="40">
        <f>MAX(0,C345*$B$325/12)</f>
        <v/>
      </c>
      <c r="E345" s="40">
        <f>MAX(0,MIN(C345,$B$324-D345))</f>
        <v/>
      </c>
      <c r="F345" s="40">
        <f>MAX(0,C345-E345)</f>
        <v/>
      </c>
    </row>
    <row r="346">
      <c r="A346" s="34" t="n">
        <v>17</v>
      </c>
      <c r="B346" s="34" t="inlineStr">
        <is>
          <t>2027-04-30</t>
        </is>
      </c>
      <c r="C346" s="40">
        <f>F345</f>
        <v/>
      </c>
      <c r="D346" s="40">
        <f>MAX(0,C346*$B$325/12)</f>
        <v/>
      </c>
      <c r="E346" s="40">
        <f>MAX(0,MIN(C346,$B$324-D346))</f>
        <v/>
      </c>
      <c r="F346" s="40">
        <f>MAX(0,C346-E346)</f>
        <v/>
      </c>
    </row>
    <row r="347">
      <c r="A347" s="34" t="n">
        <v>18</v>
      </c>
      <c r="B347" s="34" t="inlineStr">
        <is>
          <t>2027-05-30</t>
        </is>
      </c>
      <c r="C347" s="40">
        <f>F346</f>
        <v/>
      </c>
      <c r="D347" s="40">
        <f>MAX(0,C347*$B$325/12)</f>
        <v/>
      </c>
      <c r="E347" s="40">
        <f>MAX(0,MIN(C347,$B$324-D347))</f>
        <v/>
      </c>
      <c r="F347" s="40">
        <f>MAX(0,C347-E347)</f>
        <v/>
      </c>
    </row>
    <row r="348">
      <c r="A348" s="34" t="n">
        <v>19</v>
      </c>
      <c r="B348" s="34" t="inlineStr">
        <is>
          <t>2027-06-30</t>
        </is>
      </c>
      <c r="C348" s="40">
        <f>F347</f>
        <v/>
      </c>
      <c r="D348" s="40">
        <f>MAX(0,C348*$B$325/12)</f>
        <v/>
      </c>
      <c r="E348" s="40">
        <f>MAX(0,MIN(C348,$B$324-D348))</f>
        <v/>
      </c>
      <c r="F348" s="40">
        <f>MAX(0,C348-E348)</f>
        <v/>
      </c>
    </row>
    <row r="349">
      <c r="A349" s="34" t="n">
        <v>20</v>
      </c>
      <c r="B349" s="34" t="inlineStr">
        <is>
          <t>2027-07-30</t>
        </is>
      </c>
      <c r="C349" s="40">
        <f>F348</f>
        <v/>
      </c>
      <c r="D349" s="40">
        <f>MAX(0,C349*$B$325/12)</f>
        <v/>
      </c>
      <c r="E349" s="40">
        <f>MAX(0,MIN(C349,$B$324-D349))</f>
        <v/>
      </c>
      <c r="F349" s="40">
        <f>MAX(0,C349-E349)</f>
        <v/>
      </c>
    </row>
    <row r="350">
      <c r="A350" s="34" t="n">
        <v>21</v>
      </c>
      <c r="B350" s="34" t="inlineStr">
        <is>
          <t>2027-08-30</t>
        </is>
      </c>
      <c r="C350" s="40">
        <f>F349</f>
        <v/>
      </c>
      <c r="D350" s="40">
        <f>MAX(0,C350*$B$325/12)</f>
        <v/>
      </c>
      <c r="E350" s="40">
        <f>MAX(0,MIN(C350,$B$324-D350))</f>
        <v/>
      </c>
      <c r="F350" s="40">
        <f>MAX(0,C350-E350)</f>
        <v/>
      </c>
    </row>
    <row r="351">
      <c r="A351" s="34" t="n">
        <v>22</v>
      </c>
      <c r="B351" s="34" t="inlineStr">
        <is>
          <t>2027-09-30</t>
        </is>
      </c>
      <c r="C351" s="40">
        <f>F350</f>
        <v/>
      </c>
      <c r="D351" s="40">
        <f>MAX(0,C351*$B$325/12)</f>
        <v/>
      </c>
      <c r="E351" s="40">
        <f>MAX(0,MIN(C351,$B$324-D351))</f>
        <v/>
      </c>
      <c r="F351" s="40">
        <f>MAX(0,C351-E351)</f>
        <v/>
      </c>
    </row>
    <row r="352">
      <c r="A352" s="34" t="n">
        <v>23</v>
      </c>
      <c r="B352" s="34" t="inlineStr">
        <is>
          <t>2027-10-30</t>
        </is>
      </c>
      <c r="C352" s="40">
        <f>F351</f>
        <v/>
      </c>
      <c r="D352" s="40">
        <f>MAX(0,C352*$B$325/12)</f>
        <v/>
      </c>
      <c r="E352" s="40">
        <f>MAX(0,MIN(C352,$B$324-D352))</f>
        <v/>
      </c>
      <c r="F352" s="40">
        <f>MAX(0,C352-E352)</f>
        <v/>
      </c>
    </row>
    <row r="353">
      <c r="A353" s="34" t="n">
        <v>24</v>
      </c>
      <c r="B353" s="34" t="inlineStr">
        <is>
          <t>2027-11-30</t>
        </is>
      </c>
      <c r="C353" s="40">
        <f>F352</f>
        <v/>
      </c>
      <c r="D353" s="40">
        <f>MAX(0,C353*$B$325/12)</f>
        <v/>
      </c>
      <c r="E353" s="40">
        <f>MAX(0,MIN(C353,$B$324-D353))</f>
        <v/>
      </c>
      <c r="F353" s="40">
        <f>MAX(0,C353-E353)</f>
        <v/>
      </c>
    </row>
    <row r="354">
      <c r="A354" s="34" t="n">
        <v>25</v>
      </c>
      <c r="B354" s="34" t="inlineStr">
        <is>
          <t>2027-12-30</t>
        </is>
      </c>
      <c r="C354" s="40">
        <f>F353</f>
        <v/>
      </c>
      <c r="D354" s="40">
        <f>MAX(0,C354*$B$325/12)</f>
        <v/>
      </c>
      <c r="E354" s="40">
        <f>MAX(0,MIN(C354,$B$324-D354))</f>
        <v/>
      </c>
      <c r="F354" s="40">
        <f>MAX(0,C354-E354)</f>
        <v/>
      </c>
    </row>
    <row r="355">
      <c r="A355" s="34" t="n">
        <v>26</v>
      </c>
      <c r="B355" s="34" t="inlineStr">
        <is>
          <t>2028-01-30</t>
        </is>
      </c>
      <c r="C355" s="40">
        <f>F354</f>
        <v/>
      </c>
      <c r="D355" s="40">
        <f>MAX(0,C355*$B$325/12)</f>
        <v/>
      </c>
      <c r="E355" s="40">
        <f>MAX(0,MIN(C355,$B$324-D355))</f>
        <v/>
      </c>
      <c r="F355" s="40">
        <f>MAX(0,C355-E355)</f>
        <v/>
      </c>
    </row>
    <row r="356">
      <c r="A356" s="34" t="n">
        <v>27</v>
      </c>
      <c r="B356" s="34" t="inlineStr">
        <is>
          <t>2028-02-29</t>
        </is>
      </c>
      <c r="C356" s="40">
        <f>F355</f>
        <v/>
      </c>
      <c r="D356" s="40">
        <f>MAX(0,C356*$B$325/12)</f>
        <v/>
      </c>
      <c r="E356" s="40">
        <f>MAX(0,MIN(C356,$B$324-D356))</f>
        <v/>
      </c>
      <c r="F356" s="40">
        <f>MAX(0,C356-E356)</f>
        <v/>
      </c>
    </row>
    <row r="357">
      <c r="A357" s="34" t="n">
        <v>28</v>
      </c>
      <c r="B357" s="34" t="inlineStr">
        <is>
          <t>2028-03-30</t>
        </is>
      </c>
      <c r="C357" s="40">
        <f>F356</f>
        <v/>
      </c>
      <c r="D357" s="40">
        <f>MAX(0,C357*$B$325/12)</f>
        <v/>
      </c>
      <c r="E357" s="40">
        <f>MAX(0,MIN(C357,$B$324-D357))</f>
        <v/>
      </c>
      <c r="F357" s="40">
        <f>MAX(0,C357-E357)</f>
        <v/>
      </c>
    </row>
    <row r="358">
      <c r="A358" s="34" t="n">
        <v>29</v>
      </c>
      <c r="B358" s="34" t="inlineStr">
        <is>
          <t>2028-04-30</t>
        </is>
      </c>
      <c r="C358" s="40">
        <f>F357</f>
        <v/>
      </c>
      <c r="D358" s="40">
        <f>MAX(0,C358*$B$325/12)</f>
        <v/>
      </c>
      <c r="E358" s="40">
        <f>MAX(0,MIN(C358,$B$324-D358))</f>
        <v/>
      </c>
      <c r="F358" s="40">
        <f>MAX(0,C358-E358)</f>
        <v/>
      </c>
    </row>
    <row r="359">
      <c r="A359" s="34" t="n">
        <v>30</v>
      </c>
      <c r="B359" s="34" t="inlineStr">
        <is>
          <t>2028-05-30</t>
        </is>
      </c>
      <c r="C359" s="40">
        <f>F358</f>
        <v/>
      </c>
      <c r="D359" s="40">
        <f>MAX(0,C359*$B$325/12)</f>
        <v/>
      </c>
      <c r="E359" s="40">
        <f>MAX(0,MIN(C359,$B$324-D359))</f>
        <v/>
      </c>
      <c r="F359" s="40">
        <f>MAX(0,C359-E359)</f>
        <v/>
      </c>
    </row>
    <row r="360">
      <c r="A360" s="34" t="n">
        <v>31</v>
      </c>
      <c r="B360" s="34" t="inlineStr">
        <is>
          <t>2028-06-30</t>
        </is>
      </c>
      <c r="C360" s="40">
        <f>F359</f>
        <v/>
      </c>
      <c r="D360" s="40">
        <f>MAX(0,C360*$B$325/12)</f>
        <v/>
      </c>
      <c r="E360" s="40">
        <f>MAX(0,MIN(C360,$B$324-D360))</f>
        <v/>
      </c>
      <c r="F360" s="40">
        <f>MAX(0,C360-E360)</f>
        <v/>
      </c>
    </row>
    <row r="361">
      <c r="A361" s="34" t="n">
        <v>32</v>
      </c>
      <c r="B361" s="34" t="inlineStr">
        <is>
          <t>2028-07-30</t>
        </is>
      </c>
      <c r="C361" s="40">
        <f>F360</f>
        <v/>
      </c>
      <c r="D361" s="40">
        <f>MAX(0,C361*$B$325/12)</f>
        <v/>
      </c>
      <c r="E361" s="40">
        <f>MAX(0,MIN(C361,$B$324-D361))</f>
        <v/>
      </c>
      <c r="F361" s="40">
        <f>MAX(0,C361-E361)</f>
        <v/>
      </c>
    </row>
    <row r="362">
      <c r="A362" s="34" t="n">
        <v>33</v>
      </c>
      <c r="B362" s="34" t="inlineStr">
        <is>
          <t>2028-08-30</t>
        </is>
      </c>
      <c r="C362" s="40">
        <f>F361</f>
        <v/>
      </c>
      <c r="D362" s="40">
        <f>MAX(0,C362*$B$325/12)</f>
        <v/>
      </c>
      <c r="E362" s="40">
        <f>MAX(0,MIN(C362,$B$324-D362))</f>
        <v/>
      </c>
      <c r="F362" s="40">
        <f>MAX(0,C362-E362)</f>
        <v/>
      </c>
    </row>
    <row r="363">
      <c r="A363" s="34" t="n">
        <v>34</v>
      </c>
      <c r="B363" s="34" t="inlineStr">
        <is>
          <t>2028-09-30</t>
        </is>
      </c>
      <c r="C363" s="40">
        <f>F362</f>
        <v/>
      </c>
      <c r="D363" s="40">
        <f>MAX(0,C363*$B$325/12)</f>
        <v/>
      </c>
      <c r="E363" s="40">
        <f>MAX(0,MIN(C363,$B$324-D363))</f>
        <v/>
      </c>
      <c r="F363" s="40">
        <f>MAX(0,C363-E363)</f>
        <v/>
      </c>
    </row>
    <row r="364">
      <c r="A364" s="34" t="n">
        <v>35</v>
      </c>
      <c r="B364" s="34" t="inlineStr">
        <is>
          <t>2028-10-30</t>
        </is>
      </c>
      <c r="C364" s="40">
        <f>F363</f>
        <v/>
      </c>
      <c r="D364" s="40">
        <f>MAX(0,C364*$B$325/12)</f>
        <v/>
      </c>
      <c r="E364" s="40">
        <f>MAX(0,MIN(C364,$B$324-D364))</f>
        <v/>
      </c>
      <c r="F364" s="40">
        <f>MAX(0,C364-E364)</f>
        <v/>
      </c>
    </row>
    <row r="365">
      <c r="A365" s="34" t="n">
        <v>36</v>
      </c>
      <c r="B365" s="34" t="inlineStr">
        <is>
          <t>2028-11-30</t>
        </is>
      </c>
      <c r="C365" s="40">
        <f>F364</f>
        <v/>
      </c>
      <c r="D365" s="40">
        <f>MAX(0,C365*$B$325/12)</f>
        <v/>
      </c>
      <c r="E365" s="40">
        <f>MAX(0,MIN(C365,$B$324-D365))</f>
        <v/>
      </c>
      <c r="F365" s="40">
        <f>MAX(0,C365-E365)</f>
        <v/>
      </c>
    </row>
    <row r="366">
      <c r="A366" s="34" t="n">
        <v>37</v>
      </c>
      <c r="B366" s="34" t="inlineStr">
        <is>
          <t>2028-12-30</t>
        </is>
      </c>
      <c r="C366" s="40">
        <f>F365</f>
        <v/>
      </c>
      <c r="D366" s="40">
        <f>MAX(0,C366*$B$325/12)</f>
        <v/>
      </c>
      <c r="E366" s="40">
        <f>MAX(0,MIN(C366,$B$324-D366))</f>
        <v/>
      </c>
      <c r="F366" s="40">
        <f>MAX(0,C366-E366)</f>
        <v/>
      </c>
    </row>
    <row r="367">
      <c r="A367" s="34" t="n">
        <v>38</v>
      </c>
      <c r="B367" s="34" t="inlineStr">
        <is>
          <t>2029-01-30</t>
        </is>
      </c>
      <c r="C367" s="40">
        <f>F366</f>
        <v/>
      </c>
      <c r="D367" s="40">
        <f>MAX(0,C367*$B$325/12)</f>
        <v/>
      </c>
      <c r="E367" s="40">
        <f>MAX(0,MIN(C367,$B$324-D367))</f>
        <v/>
      </c>
      <c r="F367" s="40">
        <f>MAX(0,C367-E367)</f>
        <v/>
      </c>
    </row>
    <row r="368">
      <c r="A368" s="62" t="inlineStr">
        <is>
          <t>TOTAL</t>
        </is>
      </c>
      <c r="B368" s="63" t="n"/>
      <c r="C368" s="63" t="n"/>
      <c r="D368" s="64">
        <f>SUM(D330:D367)</f>
        <v/>
      </c>
      <c r="E368" s="64">
        <f>SUM(E330:E367)</f>
        <v/>
      </c>
      <c r="F368" s="63" t="n"/>
    </row>
    <row r="371">
      <c r="A371" s="69" t="inlineStr">
        <is>
          <t>LOAN 9: 1 Peterbilt 579 (July 2023)</t>
        </is>
      </c>
    </row>
    <row r="372">
      <c r="A372" t="inlineStr">
        <is>
          <t>Loan ID:</t>
        </is>
      </c>
      <c r="B372" s="2" t="inlineStr">
        <is>
          <t>05-2934-006-000-00</t>
        </is>
      </c>
    </row>
    <row r="373">
      <c r="A373" t="inlineStr">
        <is>
          <t>Account #:</t>
        </is>
      </c>
      <c r="B373" s="2" t="inlineStr">
        <is>
          <t>9370133001</t>
        </is>
      </c>
    </row>
    <row r="374">
      <c r="A374" t="inlineStr">
        <is>
          <t>Origination Date:</t>
        </is>
      </c>
      <c r="B374" s="2" t="inlineStr">
        <is>
          <t>2023-07-06</t>
        </is>
      </c>
    </row>
    <row r="375">
      <c r="A375" t="inlineStr">
        <is>
          <t>Maturity Date:</t>
        </is>
      </c>
      <c r="B375" s="2" t="inlineStr">
        <is>
          <t>2029-01-10</t>
        </is>
      </c>
    </row>
    <row r="376">
      <c r="A376" t="inlineStr">
        <is>
          <t>Original Balance:</t>
        </is>
      </c>
      <c r="B376" s="3" t="n">
        <v>188107.73</v>
      </c>
    </row>
    <row r="377">
      <c r="A377" t="inlineStr">
        <is>
          <t>Remaining Balance:</t>
        </is>
      </c>
      <c r="B377" s="3" t="n">
        <v>116940</v>
      </c>
    </row>
    <row r="378">
      <c r="A378" t="inlineStr">
        <is>
          <t>Monthly Payment:</t>
        </is>
      </c>
      <c r="B378" s="3" t="n">
        <v>3421.33</v>
      </c>
    </row>
    <row r="379">
      <c r="A379" t="inlineStr">
        <is>
          <t>Annual Rate:</t>
        </is>
      </c>
      <c r="B379" s="4" t="n">
        <v>0.0668</v>
      </c>
    </row>
    <row r="380">
      <c r="A380" t="inlineStr">
        <is>
          <t>Loan Type:</t>
        </is>
      </c>
      <c r="B380" s="2" t="inlineStr">
        <is>
          <t>AMORTIZING</t>
        </is>
      </c>
    </row>
    <row r="381">
      <c r="A381" t="inlineStr">
        <is>
          <t>Use:</t>
        </is>
      </c>
      <c r="B381" s="2" t="inlineStr">
        <is>
          <t>Equipment (Semi trucks)</t>
        </is>
      </c>
    </row>
    <row r="383">
      <c r="A383" s="66" t="inlineStr">
        <is>
          <t>Month #</t>
        </is>
      </c>
      <c r="B383" s="66" t="inlineStr">
        <is>
          <t>Date</t>
        </is>
      </c>
      <c r="C383" s="66" t="inlineStr">
        <is>
          <t>Opening Balance</t>
        </is>
      </c>
      <c r="D383" s="66" t="inlineStr">
        <is>
          <t>Interest</t>
        </is>
      </c>
      <c r="E383" s="66" t="inlineStr">
        <is>
          <t>Principal</t>
        </is>
      </c>
      <c r="F383" s="66" t="inlineStr">
        <is>
          <t>Closing Balance</t>
        </is>
      </c>
    </row>
    <row r="384">
      <c r="A384" s="34" t="n">
        <v>1</v>
      </c>
      <c r="B384" s="34" t="inlineStr">
        <is>
          <t>2025-12-30</t>
        </is>
      </c>
      <c r="C384" s="40">
        <f>$B$377</f>
        <v/>
      </c>
      <c r="D384" s="40">
        <f>MAX(0,C384*$B$379/12)</f>
        <v/>
      </c>
      <c r="E384" s="40">
        <f>MAX(0,MIN(C384,$B$378-D384))</f>
        <v/>
      </c>
      <c r="F384" s="40">
        <f>MAX(0,C384-E384)</f>
        <v/>
      </c>
    </row>
    <row r="385">
      <c r="A385" s="34" t="n">
        <v>2</v>
      </c>
      <c r="B385" s="34" t="inlineStr">
        <is>
          <t>2026-01-30</t>
        </is>
      </c>
      <c r="C385" s="40">
        <f>F384</f>
        <v/>
      </c>
      <c r="D385" s="40">
        <f>MAX(0,C385*$B$379/12)</f>
        <v/>
      </c>
      <c r="E385" s="40">
        <f>MAX(0,MIN(C385,$B$378-D385))</f>
        <v/>
      </c>
      <c r="F385" s="40">
        <f>MAX(0,C385-E385)</f>
        <v/>
      </c>
    </row>
    <row r="386">
      <c r="A386" s="34" t="n">
        <v>3</v>
      </c>
      <c r="B386" s="34" t="inlineStr">
        <is>
          <t>2026-02-28</t>
        </is>
      </c>
      <c r="C386" s="40">
        <f>F385</f>
        <v/>
      </c>
      <c r="D386" s="40">
        <f>MAX(0,C386*$B$379/12)</f>
        <v/>
      </c>
      <c r="E386" s="40">
        <f>MAX(0,MIN(C386,$B$378-D386))</f>
        <v/>
      </c>
      <c r="F386" s="40">
        <f>MAX(0,C386-E386)</f>
        <v/>
      </c>
    </row>
    <row r="387">
      <c r="A387" s="34" t="n">
        <v>4</v>
      </c>
      <c r="B387" s="34" t="inlineStr">
        <is>
          <t>2026-03-30</t>
        </is>
      </c>
      <c r="C387" s="40">
        <f>F386</f>
        <v/>
      </c>
      <c r="D387" s="40">
        <f>MAX(0,C387*$B$379/12)</f>
        <v/>
      </c>
      <c r="E387" s="40">
        <f>MAX(0,MIN(C387,$B$378-D387))</f>
        <v/>
      </c>
      <c r="F387" s="40">
        <f>MAX(0,C387-E387)</f>
        <v/>
      </c>
    </row>
    <row r="388">
      <c r="A388" s="34" t="n">
        <v>5</v>
      </c>
      <c r="B388" s="34" t="inlineStr">
        <is>
          <t>2026-04-30</t>
        </is>
      </c>
      <c r="C388" s="40">
        <f>F387</f>
        <v/>
      </c>
      <c r="D388" s="40">
        <f>MAX(0,C388*$B$379/12)</f>
        <v/>
      </c>
      <c r="E388" s="40">
        <f>MAX(0,MIN(C388,$B$378-D388))</f>
        <v/>
      </c>
      <c r="F388" s="40">
        <f>MAX(0,C388-E388)</f>
        <v/>
      </c>
    </row>
    <row r="389">
      <c r="A389" s="34" t="n">
        <v>6</v>
      </c>
      <c r="B389" s="34" t="inlineStr">
        <is>
          <t>2026-05-30</t>
        </is>
      </c>
      <c r="C389" s="40">
        <f>F388</f>
        <v/>
      </c>
      <c r="D389" s="40">
        <f>MAX(0,C389*$B$379/12)</f>
        <v/>
      </c>
      <c r="E389" s="40">
        <f>MAX(0,MIN(C389,$B$378-D389))</f>
        <v/>
      </c>
      <c r="F389" s="40">
        <f>MAX(0,C389-E389)</f>
        <v/>
      </c>
    </row>
    <row r="390">
      <c r="A390" s="34" t="n">
        <v>7</v>
      </c>
      <c r="B390" s="34" t="inlineStr">
        <is>
          <t>2026-06-30</t>
        </is>
      </c>
      <c r="C390" s="40">
        <f>F389</f>
        <v/>
      </c>
      <c r="D390" s="40">
        <f>MAX(0,C390*$B$379/12)</f>
        <v/>
      </c>
      <c r="E390" s="40">
        <f>MAX(0,MIN(C390,$B$378-D390))</f>
        <v/>
      </c>
      <c r="F390" s="40">
        <f>MAX(0,C390-E390)</f>
        <v/>
      </c>
    </row>
    <row r="391">
      <c r="A391" s="34" t="n">
        <v>8</v>
      </c>
      <c r="B391" s="34" t="inlineStr">
        <is>
          <t>2026-07-30</t>
        </is>
      </c>
      <c r="C391" s="40">
        <f>F390</f>
        <v/>
      </c>
      <c r="D391" s="40">
        <f>MAX(0,C391*$B$379/12)</f>
        <v/>
      </c>
      <c r="E391" s="40">
        <f>MAX(0,MIN(C391,$B$378-D391))</f>
        <v/>
      </c>
      <c r="F391" s="40">
        <f>MAX(0,C391-E391)</f>
        <v/>
      </c>
    </row>
    <row r="392">
      <c r="A392" s="34" t="n">
        <v>9</v>
      </c>
      <c r="B392" s="34" t="inlineStr">
        <is>
          <t>2026-08-30</t>
        </is>
      </c>
      <c r="C392" s="40">
        <f>F391</f>
        <v/>
      </c>
      <c r="D392" s="40">
        <f>MAX(0,C392*$B$379/12)</f>
        <v/>
      </c>
      <c r="E392" s="40">
        <f>MAX(0,MIN(C392,$B$378-D392))</f>
        <v/>
      </c>
      <c r="F392" s="40">
        <f>MAX(0,C392-E392)</f>
        <v/>
      </c>
    </row>
    <row r="393">
      <c r="A393" s="34" t="n">
        <v>10</v>
      </c>
      <c r="B393" s="34" t="inlineStr">
        <is>
          <t>2026-09-30</t>
        </is>
      </c>
      <c r="C393" s="40">
        <f>F392</f>
        <v/>
      </c>
      <c r="D393" s="40">
        <f>MAX(0,C393*$B$379/12)</f>
        <v/>
      </c>
      <c r="E393" s="40">
        <f>MAX(0,MIN(C393,$B$378-D393))</f>
        <v/>
      </c>
      <c r="F393" s="40">
        <f>MAX(0,C393-E393)</f>
        <v/>
      </c>
    </row>
    <row r="394">
      <c r="A394" s="34" t="n">
        <v>11</v>
      </c>
      <c r="B394" s="34" t="inlineStr">
        <is>
          <t>2026-10-30</t>
        </is>
      </c>
      <c r="C394" s="40">
        <f>F393</f>
        <v/>
      </c>
      <c r="D394" s="40">
        <f>MAX(0,C394*$B$379/12)</f>
        <v/>
      </c>
      <c r="E394" s="40">
        <f>MAX(0,MIN(C394,$B$378-D394))</f>
        <v/>
      </c>
      <c r="F394" s="40">
        <f>MAX(0,C394-E394)</f>
        <v/>
      </c>
    </row>
    <row r="395">
      <c r="A395" s="34" t="n">
        <v>12</v>
      </c>
      <c r="B395" s="34" t="inlineStr">
        <is>
          <t>2026-11-30</t>
        </is>
      </c>
      <c r="C395" s="40">
        <f>F394</f>
        <v/>
      </c>
      <c r="D395" s="40">
        <f>MAX(0,C395*$B$379/12)</f>
        <v/>
      </c>
      <c r="E395" s="40">
        <f>MAX(0,MIN(C395,$B$378-D395))</f>
        <v/>
      </c>
      <c r="F395" s="40">
        <f>MAX(0,C395-E395)</f>
        <v/>
      </c>
    </row>
    <row r="396">
      <c r="A396" s="34" t="n">
        <v>13</v>
      </c>
      <c r="B396" s="34" t="inlineStr">
        <is>
          <t>2026-12-30</t>
        </is>
      </c>
      <c r="C396" s="40">
        <f>F395</f>
        <v/>
      </c>
      <c r="D396" s="40">
        <f>MAX(0,C396*$B$379/12)</f>
        <v/>
      </c>
      <c r="E396" s="40">
        <f>MAX(0,MIN(C396,$B$378-D396))</f>
        <v/>
      </c>
      <c r="F396" s="40">
        <f>MAX(0,C396-E396)</f>
        <v/>
      </c>
    </row>
    <row r="397">
      <c r="A397" s="34" t="n">
        <v>14</v>
      </c>
      <c r="B397" s="34" t="inlineStr">
        <is>
          <t>2027-01-30</t>
        </is>
      </c>
      <c r="C397" s="40">
        <f>F396</f>
        <v/>
      </c>
      <c r="D397" s="40">
        <f>MAX(0,C397*$B$379/12)</f>
        <v/>
      </c>
      <c r="E397" s="40">
        <f>MAX(0,MIN(C397,$B$378-D397))</f>
        <v/>
      </c>
      <c r="F397" s="40">
        <f>MAX(0,C397-E397)</f>
        <v/>
      </c>
    </row>
    <row r="398">
      <c r="A398" s="34" t="n">
        <v>15</v>
      </c>
      <c r="B398" s="34" t="inlineStr">
        <is>
          <t>2027-02-28</t>
        </is>
      </c>
      <c r="C398" s="40">
        <f>F397</f>
        <v/>
      </c>
      <c r="D398" s="40">
        <f>MAX(0,C398*$B$379/12)</f>
        <v/>
      </c>
      <c r="E398" s="40">
        <f>MAX(0,MIN(C398,$B$378-D398))</f>
        <v/>
      </c>
      <c r="F398" s="40">
        <f>MAX(0,C398-E398)</f>
        <v/>
      </c>
    </row>
    <row r="399">
      <c r="A399" s="34" t="n">
        <v>16</v>
      </c>
      <c r="B399" s="34" t="inlineStr">
        <is>
          <t>2027-03-30</t>
        </is>
      </c>
      <c r="C399" s="40">
        <f>F398</f>
        <v/>
      </c>
      <c r="D399" s="40">
        <f>MAX(0,C399*$B$379/12)</f>
        <v/>
      </c>
      <c r="E399" s="40">
        <f>MAX(0,MIN(C399,$B$378-D399))</f>
        <v/>
      </c>
      <c r="F399" s="40">
        <f>MAX(0,C399-E399)</f>
        <v/>
      </c>
    </row>
    <row r="400">
      <c r="A400" s="34" t="n">
        <v>17</v>
      </c>
      <c r="B400" s="34" t="inlineStr">
        <is>
          <t>2027-04-30</t>
        </is>
      </c>
      <c r="C400" s="40">
        <f>F399</f>
        <v/>
      </c>
      <c r="D400" s="40">
        <f>MAX(0,C400*$B$379/12)</f>
        <v/>
      </c>
      <c r="E400" s="40">
        <f>MAX(0,MIN(C400,$B$378-D400))</f>
        <v/>
      </c>
      <c r="F400" s="40">
        <f>MAX(0,C400-E400)</f>
        <v/>
      </c>
    </row>
    <row r="401">
      <c r="A401" s="34" t="n">
        <v>18</v>
      </c>
      <c r="B401" s="34" t="inlineStr">
        <is>
          <t>2027-05-30</t>
        </is>
      </c>
      <c r="C401" s="40">
        <f>F400</f>
        <v/>
      </c>
      <c r="D401" s="40">
        <f>MAX(0,C401*$B$379/12)</f>
        <v/>
      </c>
      <c r="E401" s="40">
        <f>MAX(0,MIN(C401,$B$378-D401))</f>
        <v/>
      </c>
      <c r="F401" s="40">
        <f>MAX(0,C401-E401)</f>
        <v/>
      </c>
    </row>
    <row r="402">
      <c r="A402" s="34" t="n">
        <v>19</v>
      </c>
      <c r="B402" s="34" t="inlineStr">
        <is>
          <t>2027-06-30</t>
        </is>
      </c>
      <c r="C402" s="40">
        <f>F401</f>
        <v/>
      </c>
      <c r="D402" s="40">
        <f>MAX(0,C402*$B$379/12)</f>
        <v/>
      </c>
      <c r="E402" s="40">
        <f>MAX(0,MIN(C402,$B$378-D402))</f>
        <v/>
      </c>
      <c r="F402" s="40">
        <f>MAX(0,C402-E402)</f>
        <v/>
      </c>
    </row>
    <row r="403">
      <c r="A403" s="34" t="n">
        <v>20</v>
      </c>
      <c r="B403" s="34" t="inlineStr">
        <is>
          <t>2027-07-30</t>
        </is>
      </c>
      <c r="C403" s="40">
        <f>F402</f>
        <v/>
      </c>
      <c r="D403" s="40">
        <f>MAX(0,C403*$B$379/12)</f>
        <v/>
      </c>
      <c r="E403" s="40">
        <f>MAX(0,MIN(C403,$B$378-D403))</f>
        <v/>
      </c>
      <c r="F403" s="40">
        <f>MAX(0,C403-E403)</f>
        <v/>
      </c>
    </row>
    <row r="404">
      <c r="A404" s="34" t="n">
        <v>21</v>
      </c>
      <c r="B404" s="34" t="inlineStr">
        <is>
          <t>2027-08-30</t>
        </is>
      </c>
      <c r="C404" s="40">
        <f>F403</f>
        <v/>
      </c>
      <c r="D404" s="40">
        <f>MAX(0,C404*$B$379/12)</f>
        <v/>
      </c>
      <c r="E404" s="40">
        <f>MAX(0,MIN(C404,$B$378-D404))</f>
        <v/>
      </c>
      <c r="F404" s="40">
        <f>MAX(0,C404-E404)</f>
        <v/>
      </c>
    </row>
    <row r="405">
      <c r="A405" s="34" t="n">
        <v>22</v>
      </c>
      <c r="B405" s="34" t="inlineStr">
        <is>
          <t>2027-09-30</t>
        </is>
      </c>
      <c r="C405" s="40">
        <f>F404</f>
        <v/>
      </c>
      <c r="D405" s="40">
        <f>MAX(0,C405*$B$379/12)</f>
        <v/>
      </c>
      <c r="E405" s="40">
        <f>MAX(0,MIN(C405,$B$378-D405))</f>
        <v/>
      </c>
      <c r="F405" s="40">
        <f>MAX(0,C405-E405)</f>
        <v/>
      </c>
    </row>
    <row r="406">
      <c r="A406" s="34" t="n">
        <v>23</v>
      </c>
      <c r="B406" s="34" t="inlineStr">
        <is>
          <t>2027-10-30</t>
        </is>
      </c>
      <c r="C406" s="40">
        <f>F405</f>
        <v/>
      </c>
      <c r="D406" s="40">
        <f>MAX(0,C406*$B$379/12)</f>
        <v/>
      </c>
      <c r="E406" s="40">
        <f>MAX(0,MIN(C406,$B$378-D406))</f>
        <v/>
      </c>
      <c r="F406" s="40">
        <f>MAX(0,C406-E406)</f>
        <v/>
      </c>
    </row>
    <row r="407">
      <c r="A407" s="34" t="n">
        <v>24</v>
      </c>
      <c r="B407" s="34" t="inlineStr">
        <is>
          <t>2027-11-30</t>
        </is>
      </c>
      <c r="C407" s="40">
        <f>F406</f>
        <v/>
      </c>
      <c r="D407" s="40">
        <f>MAX(0,C407*$B$379/12)</f>
        <v/>
      </c>
      <c r="E407" s="40">
        <f>MAX(0,MIN(C407,$B$378-D407))</f>
        <v/>
      </c>
      <c r="F407" s="40">
        <f>MAX(0,C407-E407)</f>
        <v/>
      </c>
    </row>
    <row r="408">
      <c r="A408" s="34" t="n">
        <v>25</v>
      </c>
      <c r="B408" s="34" t="inlineStr">
        <is>
          <t>2027-12-30</t>
        </is>
      </c>
      <c r="C408" s="40">
        <f>F407</f>
        <v/>
      </c>
      <c r="D408" s="40">
        <f>MAX(0,C408*$B$379/12)</f>
        <v/>
      </c>
      <c r="E408" s="40">
        <f>MAX(0,MIN(C408,$B$378-D408))</f>
        <v/>
      </c>
      <c r="F408" s="40">
        <f>MAX(0,C408-E408)</f>
        <v/>
      </c>
    </row>
    <row r="409">
      <c r="A409" s="34" t="n">
        <v>26</v>
      </c>
      <c r="B409" s="34" t="inlineStr">
        <is>
          <t>2028-01-30</t>
        </is>
      </c>
      <c r="C409" s="40">
        <f>F408</f>
        <v/>
      </c>
      <c r="D409" s="40">
        <f>MAX(0,C409*$B$379/12)</f>
        <v/>
      </c>
      <c r="E409" s="40">
        <f>MAX(0,MIN(C409,$B$378-D409))</f>
        <v/>
      </c>
      <c r="F409" s="40">
        <f>MAX(0,C409-E409)</f>
        <v/>
      </c>
    </row>
    <row r="410">
      <c r="A410" s="34" t="n">
        <v>27</v>
      </c>
      <c r="B410" s="34" t="inlineStr">
        <is>
          <t>2028-02-29</t>
        </is>
      </c>
      <c r="C410" s="40">
        <f>F409</f>
        <v/>
      </c>
      <c r="D410" s="40">
        <f>MAX(0,C410*$B$379/12)</f>
        <v/>
      </c>
      <c r="E410" s="40">
        <f>MAX(0,MIN(C410,$B$378-D410))</f>
        <v/>
      </c>
      <c r="F410" s="40">
        <f>MAX(0,C410-E410)</f>
        <v/>
      </c>
    </row>
    <row r="411">
      <c r="A411" s="34" t="n">
        <v>28</v>
      </c>
      <c r="B411" s="34" t="inlineStr">
        <is>
          <t>2028-03-30</t>
        </is>
      </c>
      <c r="C411" s="40">
        <f>F410</f>
        <v/>
      </c>
      <c r="D411" s="40">
        <f>MAX(0,C411*$B$379/12)</f>
        <v/>
      </c>
      <c r="E411" s="40">
        <f>MAX(0,MIN(C411,$B$378-D411))</f>
        <v/>
      </c>
      <c r="F411" s="40">
        <f>MAX(0,C411-E411)</f>
        <v/>
      </c>
    </row>
    <row r="412">
      <c r="A412" s="34" t="n">
        <v>29</v>
      </c>
      <c r="B412" s="34" t="inlineStr">
        <is>
          <t>2028-04-30</t>
        </is>
      </c>
      <c r="C412" s="40">
        <f>F411</f>
        <v/>
      </c>
      <c r="D412" s="40">
        <f>MAX(0,C412*$B$379/12)</f>
        <v/>
      </c>
      <c r="E412" s="40">
        <f>MAX(0,MIN(C412,$B$378-D412))</f>
        <v/>
      </c>
      <c r="F412" s="40">
        <f>MAX(0,C412-E412)</f>
        <v/>
      </c>
    </row>
    <row r="413">
      <c r="A413" s="34" t="n">
        <v>30</v>
      </c>
      <c r="B413" s="34" t="inlineStr">
        <is>
          <t>2028-05-30</t>
        </is>
      </c>
      <c r="C413" s="40">
        <f>F412</f>
        <v/>
      </c>
      <c r="D413" s="40">
        <f>MAX(0,C413*$B$379/12)</f>
        <v/>
      </c>
      <c r="E413" s="40">
        <f>MAX(0,MIN(C413,$B$378-D413))</f>
        <v/>
      </c>
      <c r="F413" s="40">
        <f>MAX(0,C413-E413)</f>
        <v/>
      </c>
    </row>
    <row r="414">
      <c r="A414" s="34" t="n">
        <v>31</v>
      </c>
      <c r="B414" s="34" t="inlineStr">
        <is>
          <t>2028-06-30</t>
        </is>
      </c>
      <c r="C414" s="40">
        <f>F413</f>
        <v/>
      </c>
      <c r="D414" s="40">
        <f>MAX(0,C414*$B$379/12)</f>
        <v/>
      </c>
      <c r="E414" s="40">
        <f>MAX(0,MIN(C414,$B$378-D414))</f>
        <v/>
      </c>
      <c r="F414" s="40">
        <f>MAX(0,C414-E414)</f>
        <v/>
      </c>
    </row>
    <row r="415">
      <c r="A415" s="34" t="n">
        <v>32</v>
      </c>
      <c r="B415" s="34" t="inlineStr">
        <is>
          <t>2028-07-30</t>
        </is>
      </c>
      <c r="C415" s="40">
        <f>F414</f>
        <v/>
      </c>
      <c r="D415" s="40">
        <f>MAX(0,C415*$B$379/12)</f>
        <v/>
      </c>
      <c r="E415" s="40">
        <f>MAX(0,MIN(C415,$B$378-D415))</f>
        <v/>
      </c>
      <c r="F415" s="40">
        <f>MAX(0,C415-E415)</f>
        <v/>
      </c>
    </row>
    <row r="416">
      <c r="A416" s="34" t="n">
        <v>33</v>
      </c>
      <c r="B416" s="34" t="inlineStr">
        <is>
          <t>2028-08-30</t>
        </is>
      </c>
      <c r="C416" s="40">
        <f>F415</f>
        <v/>
      </c>
      <c r="D416" s="40">
        <f>MAX(0,C416*$B$379/12)</f>
        <v/>
      </c>
      <c r="E416" s="40">
        <f>MAX(0,MIN(C416,$B$378-D416))</f>
        <v/>
      </c>
      <c r="F416" s="40">
        <f>MAX(0,C416-E416)</f>
        <v/>
      </c>
    </row>
    <row r="417">
      <c r="A417" s="34" t="n">
        <v>34</v>
      </c>
      <c r="B417" s="34" t="inlineStr">
        <is>
          <t>2028-09-30</t>
        </is>
      </c>
      <c r="C417" s="40">
        <f>F416</f>
        <v/>
      </c>
      <c r="D417" s="40">
        <f>MAX(0,C417*$B$379/12)</f>
        <v/>
      </c>
      <c r="E417" s="40">
        <f>MAX(0,MIN(C417,$B$378-D417))</f>
        <v/>
      </c>
      <c r="F417" s="40">
        <f>MAX(0,C417-E417)</f>
        <v/>
      </c>
    </row>
    <row r="418">
      <c r="A418" s="34" t="n">
        <v>35</v>
      </c>
      <c r="B418" s="34" t="inlineStr">
        <is>
          <t>2028-10-30</t>
        </is>
      </c>
      <c r="C418" s="40">
        <f>F417</f>
        <v/>
      </c>
      <c r="D418" s="40">
        <f>MAX(0,C418*$B$379/12)</f>
        <v/>
      </c>
      <c r="E418" s="40">
        <f>MAX(0,MIN(C418,$B$378-D418))</f>
        <v/>
      </c>
      <c r="F418" s="40">
        <f>MAX(0,C418-E418)</f>
        <v/>
      </c>
    </row>
    <row r="419">
      <c r="A419" s="34" t="n">
        <v>36</v>
      </c>
      <c r="B419" s="34" t="inlineStr">
        <is>
          <t>2028-11-30</t>
        </is>
      </c>
      <c r="C419" s="40">
        <f>F418</f>
        <v/>
      </c>
      <c r="D419" s="40">
        <f>MAX(0,C419*$B$379/12)</f>
        <v/>
      </c>
      <c r="E419" s="40">
        <f>MAX(0,MIN(C419,$B$378-D419))</f>
        <v/>
      </c>
      <c r="F419" s="40">
        <f>MAX(0,C419-E419)</f>
        <v/>
      </c>
    </row>
    <row r="420">
      <c r="A420" s="34" t="n">
        <v>37</v>
      </c>
      <c r="B420" s="34" t="inlineStr">
        <is>
          <t>2028-12-30</t>
        </is>
      </c>
      <c r="C420" s="40">
        <f>F419</f>
        <v/>
      </c>
      <c r="D420" s="40">
        <f>MAX(0,C420*$B$379/12)</f>
        <v/>
      </c>
      <c r="E420" s="40">
        <f>MAX(0,MIN(C420,$B$378-D420))</f>
        <v/>
      </c>
      <c r="F420" s="40">
        <f>MAX(0,C420-E420)</f>
        <v/>
      </c>
    </row>
    <row r="421">
      <c r="A421" s="34" t="n">
        <v>38</v>
      </c>
      <c r="B421" s="34" t="inlineStr">
        <is>
          <t>2029-01-30</t>
        </is>
      </c>
      <c r="C421" s="40">
        <f>F420</f>
        <v/>
      </c>
      <c r="D421" s="40">
        <f>MAX(0,C421*$B$379/12)</f>
        <v/>
      </c>
      <c r="E421" s="40">
        <f>MAX(0,MIN(C421,$B$378-D421))</f>
        <v/>
      </c>
      <c r="F421" s="40">
        <f>MAX(0,C421-E421)</f>
        <v/>
      </c>
    </row>
    <row r="422">
      <c r="A422" s="62" t="inlineStr">
        <is>
          <t>TOTAL</t>
        </is>
      </c>
      <c r="B422" s="63" t="n"/>
      <c r="C422" s="63" t="n"/>
      <c r="D422" s="64">
        <f>SUM(D384:D421)</f>
        <v/>
      </c>
      <c r="E422" s="64">
        <f>SUM(E384:E421)</f>
        <v/>
      </c>
      <c r="F422" s="63" t="n"/>
    </row>
    <row r="425">
      <c r="A425" s="69" t="inlineStr">
        <is>
          <t>LOAN 10: 6 T680 Sleepers (July 2023)</t>
        </is>
      </c>
    </row>
    <row r="426">
      <c r="A426" t="inlineStr">
        <is>
          <t>Loan ID:</t>
        </is>
      </c>
      <c r="B426" s="2" t="inlineStr">
        <is>
          <t>05-2934-007-000-00</t>
        </is>
      </c>
    </row>
    <row r="427">
      <c r="A427" t="inlineStr">
        <is>
          <t>Account #:</t>
        </is>
      </c>
      <c r="B427" s="2" t="inlineStr">
        <is>
          <t>9370474001</t>
        </is>
      </c>
    </row>
    <row r="428">
      <c r="A428" t="inlineStr">
        <is>
          <t>Origination Date:</t>
        </is>
      </c>
      <c r="B428" s="2" t="inlineStr">
        <is>
          <t>2023-07-17</t>
        </is>
      </c>
    </row>
    <row r="429">
      <c r="A429" t="inlineStr">
        <is>
          <t>Maturity Date:</t>
        </is>
      </c>
      <c r="B429" s="2" t="inlineStr">
        <is>
          <t>2029-02-01</t>
        </is>
      </c>
    </row>
    <row r="430">
      <c r="A430" t="inlineStr">
        <is>
          <t>Original Balance:</t>
        </is>
      </c>
      <c r="B430" s="3" t="n">
        <v>1073840</v>
      </c>
    </row>
    <row r="431">
      <c r="A431" t="inlineStr">
        <is>
          <t>Remaining Balance:</t>
        </is>
      </c>
      <c r="B431" s="3" t="n">
        <v>683534</v>
      </c>
    </row>
    <row r="432">
      <c r="A432" t="inlineStr">
        <is>
          <t>Monthly Payment:</t>
        </is>
      </c>
      <c r="B432" s="3" t="n">
        <v>19542.15</v>
      </c>
    </row>
    <row r="433">
      <c r="A433" t="inlineStr">
        <is>
          <t>Annual Rate:</t>
        </is>
      </c>
      <c r="B433" s="4" t="n">
        <v>0.0668</v>
      </c>
    </row>
    <row r="434">
      <c r="A434" t="inlineStr">
        <is>
          <t>Loan Type:</t>
        </is>
      </c>
      <c r="B434" s="2" t="inlineStr">
        <is>
          <t>AMORTIZING</t>
        </is>
      </c>
    </row>
    <row r="435">
      <c r="A435" t="inlineStr">
        <is>
          <t>Use:</t>
        </is>
      </c>
      <c r="B435" s="2" t="inlineStr">
        <is>
          <t>Equipment (Semi trucks)</t>
        </is>
      </c>
    </row>
    <row r="437">
      <c r="A437" s="66" t="inlineStr">
        <is>
          <t>Month #</t>
        </is>
      </c>
      <c r="B437" s="66" t="inlineStr">
        <is>
          <t>Date</t>
        </is>
      </c>
      <c r="C437" s="66" t="inlineStr">
        <is>
          <t>Opening Balance</t>
        </is>
      </c>
      <c r="D437" s="66" t="inlineStr">
        <is>
          <t>Interest</t>
        </is>
      </c>
      <c r="E437" s="66" t="inlineStr">
        <is>
          <t>Principal</t>
        </is>
      </c>
      <c r="F437" s="66" t="inlineStr">
        <is>
          <t>Closing Balance</t>
        </is>
      </c>
    </row>
    <row r="438">
      <c r="A438" s="34" t="n">
        <v>1</v>
      </c>
      <c r="B438" s="34" t="inlineStr">
        <is>
          <t>2025-12-30</t>
        </is>
      </c>
      <c r="C438" s="40">
        <f>$B$431</f>
        <v/>
      </c>
      <c r="D438" s="40">
        <f>MAX(0,C438*$B$433/12)</f>
        <v/>
      </c>
      <c r="E438" s="40">
        <f>MAX(0,MIN(C438,$B$432-D438))</f>
        <v/>
      </c>
      <c r="F438" s="40">
        <f>MAX(0,C438-E438)</f>
        <v/>
      </c>
    </row>
    <row r="439">
      <c r="A439" s="34" t="n">
        <v>2</v>
      </c>
      <c r="B439" s="34" t="inlineStr">
        <is>
          <t>2026-01-30</t>
        </is>
      </c>
      <c r="C439" s="40">
        <f>F438</f>
        <v/>
      </c>
      <c r="D439" s="40">
        <f>MAX(0,C439*$B$433/12)</f>
        <v/>
      </c>
      <c r="E439" s="40">
        <f>MAX(0,MIN(C439,$B$432-D439))</f>
        <v/>
      </c>
      <c r="F439" s="40">
        <f>MAX(0,C439-E439)</f>
        <v/>
      </c>
    </row>
    <row r="440">
      <c r="A440" s="34" t="n">
        <v>3</v>
      </c>
      <c r="B440" s="34" t="inlineStr">
        <is>
          <t>2026-02-28</t>
        </is>
      </c>
      <c r="C440" s="40">
        <f>F439</f>
        <v/>
      </c>
      <c r="D440" s="40">
        <f>MAX(0,C440*$B$433/12)</f>
        <v/>
      </c>
      <c r="E440" s="40">
        <f>MAX(0,MIN(C440,$B$432-D440))</f>
        <v/>
      </c>
      <c r="F440" s="40">
        <f>MAX(0,C440-E440)</f>
        <v/>
      </c>
    </row>
    <row r="441">
      <c r="A441" s="34" t="n">
        <v>4</v>
      </c>
      <c r="B441" s="34" t="inlineStr">
        <is>
          <t>2026-03-30</t>
        </is>
      </c>
      <c r="C441" s="40">
        <f>F440</f>
        <v/>
      </c>
      <c r="D441" s="40">
        <f>MAX(0,C441*$B$433/12)</f>
        <v/>
      </c>
      <c r="E441" s="40">
        <f>MAX(0,MIN(C441,$B$432-D441))</f>
        <v/>
      </c>
      <c r="F441" s="40">
        <f>MAX(0,C441-E441)</f>
        <v/>
      </c>
    </row>
    <row r="442">
      <c r="A442" s="34" t="n">
        <v>5</v>
      </c>
      <c r="B442" s="34" t="inlineStr">
        <is>
          <t>2026-04-30</t>
        </is>
      </c>
      <c r="C442" s="40">
        <f>F441</f>
        <v/>
      </c>
      <c r="D442" s="40">
        <f>MAX(0,C442*$B$433/12)</f>
        <v/>
      </c>
      <c r="E442" s="40">
        <f>MAX(0,MIN(C442,$B$432-D442))</f>
        <v/>
      </c>
      <c r="F442" s="40">
        <f>MAX(0,C442-E442)</f>
        <v/>
      </c>
    </row>
    <row r="443">
      <c r="A443" s="34" t="n">
        <v>6</v>
      </c>
      <c r="B443" s="34" t="inlineStr">
        <is>
          <t>2026-05-30</t>
        </is>
      </c>
      <c r="C443" s="40">
        <f>F442</f>
        <v/>
      </c>
      <c r="D443" s="40">
        <f>MAX(0,C443*$B$433/12)</f>
        <v/>
      </c>
      <c r="E443" s="40">
        <f>MAX(0,MIN(C443,$B$432-D443))</f>
        <v/>
      </c>
      <c r="F443" s="40">
        <f>MAX(0,C443-E443)</f>
        <v/>
      </c>
    </row>
    <row r="444">
      <c r="A444" s="34" t="n">
        <v>7</v>
      </c>
      <c r="B444" s="34" t="inlineStr">
        <is>
          <t>2026-06-30</t>
        </is>
      </c>
      <c r="C444" s="40">
        <f>F443</f>
        <v/>
      </c>
      <c r="D444" s="40">
        <f>MAX(0,C444*$B$433/12)</f>
        <v/>
      </c>
      <c r="E444" s="40">
        <f>MAX(0,MIN(C444,$B$432-D444))</f>
        <v/>
      </c>
      <c r="F444" s="40">
        <f>MAX(0,C444-E444)</f>
        <v/>
      </c>
    </row>
    <row r="445">
      <c r="A445" s="34" t="n">
        <v>8</v>
      </c>
      <c r="B445" s="34" t="inlineStr">
        <is>
          <t>2026-07-30</t>
        </is>
      </c>
      <c r="C445" s="40">
        <f>F444</f>
        <v/>
      </c>
      <c r="D445" s="40">
        <f>MAX(0,C445*$B$433/12)</f>
        <v/>
      </c>
      <c r="E445" s="40">
        <f>MAX(0,MIN(C445,$B$432-D445))</f>
        <v/>
      </c>
      <c r="F445" s="40">
        <f>MAX(0,C445-E445)</f>
        <v/>
      </c>
    </row>
    <row r="446">
      <c r="A446" s="34" t="n">
        <v>9</v>
      </c>
      <c r="B446" s="34" t="inlineStr">
        <is>
          <t>2026-08-30</t>
        </is>
      </c>
      <c r="C446" s="40">
        <f>F445</f>
        <v/>
      </c>
      <c r="D446" s="40">
        <f>MAX(0,C446*$B$433/12)</f>
        <v/>
      </c>
      <c r="E446" s="40">
        <f>MAX(0,MIN(C446,$B$432-D446))</f>
        <v/>
      </c>
      <c r="F446" s="40">
        <f>MAX(0,C446-E446)</f>
        <v/>
      </c>
    </row>
    <row r="447">
      <c r="A447" s="34" t="n">
        <v>10</v>
      </c>
      <c r="B447" s="34" t="inlineStr">
        <is>
          <t>2026-09-30</t>
        </is>
      </c>
      <c r="C447" s="40">
        <f>F446</f>
        <v/>
      </c>
      <c r="D447" s="40">
        <f>MAX(0,C447*$B$433/12)</f>
        <v/>
      </c>
      <c r="E447" s="40">
        <f>MAX(0,MIN(C447,$B$432-D447))</f>
        <v/>
      </c>
      <c r="F447" s="40">
        <f>MAX(0,C447-E447)</f>
        <v/>
      </c>
    </row>
    <row r="448">
      <c r="A448" s="34" t="n">
        <v>11</v>
      </c>
      <c r="B448" s="34" t="inlineStr">
        <is>
          <t>2026-10-30</t>
        </is>
      </c>
      <c r="C448" s="40">
        <f>F447</f>
        <v/>
      </c>
      <c r="D448" s="40">
        <f>MAX(0,C448*$B$433/12)</f>
        <v/>
      </c>
      <c r="E448" s="40">
        <f>MAX(0,MIN(C448,$B$432-D448))</f>
        <v/>
      </c>
      <c r="F448" s="40">
        <f>MAX(0,C448-E448)</f>
        <v/>
      </c>
    </row>
    <row r="449">
      <c r="A449" s="34" t="n">
        <v>12</v>
      </c>
      <c r="B449" s="34" t="inlineStr">
        <is>
          <t>2026-11-30</t>
        </is>
      </c>
      <c r="C449" s="40">
        <f>F448</f>
        <v/>
      </c>
      <c r="D449" s="40">
        <f>MAX(0,C449*$B$433/12)</f>
        <v/>
      </c>
      <c r="E449" s="40">
        <f>MAX(0,MIN(C449,$B$432-D449))</f>
        <v/>
      </c>
      <c r="F449" s="40">
        <f>MAX(0,C449-E449)</f>
        <v/>
      </c>
    </row>
    <row r="450">
      <c r="A450" s="34" t="n">
        <v>13</v>
      </c>
      <c r="B450" s="34" t="inlineStr">
        <is>
          <t>2026-12-30</t>
        </is>
      </c>
      <c r="C450" s="40">
        <f>F449</f>
        <v/>
      </c>
      <c r="D450" s="40">
        <f>MAX(0,C450*$B$433/12)</f>
        <v/>
      </c>
      <c r="E450" s="40">
        <f>MAX(0,MIN(C450,$B$432-D450))</f>
        <v/>
      </c>
      <c r="F450" s="40">
        <f>MAX(0,C450-E450)</f>
        <v/>
      </c>
    </row>
    <row r="451">
      <c r="A451" s="34" t="n">
        <v>14</v>
      </c>
      <c r="B451" s="34" t="inlineStr">
        <is>
          <t>2027-01-30</t>
        </is>
      </c>
      <c r="C451" s="40">
        <f>F450</f>
        <v/>
      </c>
      <c r="D451" s="40">
        <f>MAX(0,C451*$B$433/12)</f>
        <v/>
      </c>
      <c r="E451" s="40">
        <f>MAX(0,MIN(C451,$B$432-D451))</f>
        <v/>
      </c>
      <c r="F451" s="40">
        <f>MAX(0,C451-E451)</f>
        <v/>
      </c>
    </row>
    <row r="452">
      <c r="A452" s="34" t="n">
        <v>15</v>
      </c>
      <c r="B452" s="34" t="inlineStr">
        <is>
          <t>2027-02-28</t>
        </is>
      </c>
      <c r="C452" s="40">
        <f>F451</f>
        <v/>
      </c>
      <c r="D452" s="40">
        <f>MAX(0,C452*$B$433/12)</f>
        <v/>
      </c>
      <c r="E452" s="40">
        <f>MAX(0,MIN(C452,$B$432-D452))</f>
        <v/>
      </c>
      <c r="F452" s="40">
        <f>MAX(0,C452-E452)</f>
        <v/>
      </c>
    </row>
    <row r="453">
      <c r="A453" s="34" t="n">
        <v>16</v>
      </c>
      <c r="B453" s="34" t="inlineStr">
        <is>
          <t>2027-03-30</t>
        </is>
      </c>
      <c r="C453" s="40">
        <f>F452</f>
        <v/>
      </c>
      <c r="D453" s="40">
        <f>MAX(0,C453*$B$433/12)</f>
        <v/>
      </c>
      <c r="E453" s="40">
        <f>MAX(0,MIN(C453,$B$432-D453))</f>
        <v/>
      </c>
      <c r="F453" s="40">
        <f>MAX(0,C453-E453)</f>
        <v/>
      </c>
    </row>
    <row r="454">
      <c r="A454" s="34" t="n">
        <v>17</v>
      </c>
      <c r="B454" s="34" t="inlineStr">
        <is>
          <t>2027-04-30</t>
        </is>
      </c>
      <c r="C454" s="40">
        <f>F453</f>
        <v/>
      </c>
      <c r="D454" s="40">
        <f>MAX(0,C454*$B$433/12)</f>
        <v/>
      </c>
      <c r="E454" s="40">
        <f>MAX(0,MIN(C454,$B$432-D454))</f>
        <v/>
      </c>
      <c r="F454" s="40">
        <f>MAX(0,C454-E454)</f>
        <v/>
      </c>
    </row>
    <row r="455">
      <c r="A455" s="34" t="n">
        <v>18</v>
      </c>
      <c r="B455" s="34" t="inlineStr">
        <is>
          <t>2027-05-30</t>
        </is>
      </c>
      <c r="C455" s="40">
        <f>F454</f>
        <v/>
      </c>
      <c r="D455" s="40">
        <f>MAX(0,C455*$B$433/12)</f>
        <v/>
      </c>
      <c r="E455" s="40">
        <f>MAX(0,MIN(C455,$B$432-D455))</f>
        <v/>
      </c>
      <c r="F455" s="40">
        <f>MAX(0,C455-E455)</f>
        <v/>
      </c>
    </row>
    <row r="456">
      <c r="A456" s="34" t="n">
        <v>19</v>
      </c>
      <c r="B456" s="34" t="inlineStr">
        <is>
          <t>2027-06-30</t>
        </is>
      </c>
      <c r="C456" s="40">
        <f>F455</f>
        <v/>
      </c>
      <c r="D456" s="40">
        <f>MAX(0,C456*$B$433/12)</f>
        <v/>
      </c>
      <c r="E456" s="40">
        <f>MAX(0,MIN(C456,$B$432-D456))</f>
        <v/>
      </c>
      <c r="F456" s="40">
        <f>MAX(0,C456-E456)</f>
        <v/>
      </c>
    </row>
    <row r="457">
      <c r="A457" s="34" t="n">
        <v>20</v>
      </c>
      <c r="B457" s="34" t="inlineStr">
        <is>
          <t>2027-07-30</t>
        </is>
      </c>
      <c r="C457" s="40">
        <f>F456</f>
        <v/>
      </c>
      <c r="D457" s="40">
        <f>MAX(0,C457*$B$433/12)</f>
        <v/>
      </c>
      <c r="E457" s="40">
        <f>MAX(0,MIN(C457,$B$432-D457))</f>
        <v/>
      </c>
      <c r="F457" s="40">
        <f>MAX(0,C457-E457)</f>
        <v/>
      </c>
    </row>
    <row r="458">
      <c r="A458" s="34" t="n">
        <v>21</v>
      </c>
      <c r="B458" s="34" t="inlineStr">
        <is>
          <t>2027-08-30</t>
        </is>
      </c>
      <c r="C458" s="40">
        <f>F457</f>
        <v/>
      </c>
      <c r="D458" s="40">
        <f>MAX(0,C458*$B$433/12)</f>
        <v/>
      </c>
      <c r="E458" s="40">
        <f>MAX(0,MIN(C458,$B$432-D458))</f>
        <v/>
      </c>
      <c r="F458" s="40">
        <f>MAX(0,C458-E458)</f>
        <v/>
      </c>
    </row>
    <row r="459">
      <c r="A459" s="34" t="n">
        <v>22</v>
      </c>
      <c r="B459" s="34" t="inlineStr">
        <is>
          <t>2027-09-30</t>
        </is>
      </c>
      <c r="C459" s="40">
        <f>F458</f>
        <v/>
      </c>
      <c r="D459" s="40">
        <f>MAX(0,C459*$B$433/12)</f>
        <v/>
      </c>
      <c r="E459" s="40">
        <f>MAX(0,MIN(C459,$B$432-D459))</f>
        <v/>
      </c>
      <c r="F459" s="40">
        <f>MAX(0,C459-E459)</f>
        <v/>
      </c>
    </row>
    <row r="460">
      <c r="A460" s="34" t="n">
        <v>23</v>
      </c>
      <c r="B460" s="34" t="inlineStr">
        <is>
          <t>2027-10-30</t>
        </is>
      </c>
      <c r="C460" s="40">
        <f>F459</f>
        <v/>
      </c>
      <c r="D460" s="40">
        <f>MAX(0,C460*$B$433/12)</f>
        <v/>
      </c>
      <c r="E460" s="40">
        <f>MAX(0,MIN(C460,$B$432-D460))</f>
        <v/>
      </c>
      <c r="F460" s="40">
        <f>MAX(0,C460-E460)</f>
        <v/>
      </c>
    </row>
    <row r="461">
      <c r="A461" s="34" t="n">
        <v>24</v>
      </c>
      <c r="B461" s="34" t="inlineStr">
        <is>
          <t>2027-11-30</t>
        </is>
      </c>
      <c r="C461" s="40">
        <f>F460</f>
        <v/>
      </c>
      <c r="D461" s="40">
        <f>MAX(0,C461*$B$433/12)</f>
        <v/>
      </c>
      <c r="E461" s="40">
        <f>MAX(0,MIN(C461,$B$432-D461))</f>
        <v/>
      </c>
      <c r="F461" s="40">
        <f>MAX(0,C461-E461)</f>
        <v/>
      </c>
    </row>
    <row r="462">
      <c r="A462" s="34" t="n">
        <v>25</v>
      </c>
      <c r="B462" s="34" t="inlineStr">
        <is>
          <t>2027-12-30</t>
        </is>
      </c>
      <c r="C462" s="40">
        <f>F461</f>
        <v/>
      </c>
      <c r="D462" s="40">
        <f>MAX(0,C462*$B$433/12)</f>
        <v/>
      </c>
      <c r="E462" s="40">
        <f>MAX(0,MIN(C462,$B$432-D462))</f>
        <v/>
      </c>
      <c r="F462" s="40">
        <f>MAX(0,C462-E462)</f>
        <v/>
      </c>
    </row>
    <row r="463">
      <c r="A463" s="34" t="n">
        <v>26</v>
      </c>
      <c r="B463" s="34" t="inlineStr">
        <is>
          <t>2028-01-30</t>
        </is>
      </c>
      <c r="C463" s="40">
        <f>F462</f>
        <v/>
      </c>
      <c r="D463" s="40">
        <f>MAX(0,C463*$B$433/12)</f>
        <v/>
      </c>
      <c r="E463" s="40">
        <f>MAX(0,MIN(C463,$B$432-D463))</f>
        <v/>
      </c>
      <c r="F463" s="40">
        <f>MAX(0,C463-E463)</f>
        <v/>
      </c>
    </row>
    <row r="464">
      <c r="A464" s="34" t="n">
        <v>27</v>
      </c>
      <c r="B464" s="34" t="inlineStr">
        <is>
          <t>2028-02-29</t>
        </is>
      </c>
      <c r="C464" s="40">
        <f>F463</f>
        <v/>
      </c>
      <c r="D464" s="40">
        <f>MAX(0,C464*$B$433/12)</f>
        <v/>
      </c>
      <c r="E464" s="40">
        <f>MAX(0,MIN(C464,$B$432-D464))</f>
        <v/>
      </c>
      <c r="F464" s="40">
        <f>MAX(0,C464-E464)</f>
        <v/>
      </c>
    </row>
    <row r="465">
      <c r="A465" s="34" t="n">
        <v>28</v>
      </c>
      <c r="B465" s="34" t="inlineStr">
        <is>
          <t>2028-03-30</t>
        </is>
      </c>
      <c r="C465" s="40">
        <f>F464</f>
        <v/>
      </c>
      <c r="D465" s="40">
        <f>MAX(0,C465*$B$433/12)</f>
        <v/>
      </c>
      <c r="E465" s="40">
        <f>MAX(0,MIN(C465,$B$432-D465))</f>
        <v/>
      </c>
      <c r="F465" s="40">
        <f>MAX(0,C465-E465)</f>
        <v/>
      </c>
    </row>
    <row r="466">
      <c r="A466" s="34" t="n">
        <v>29</v>
      </c>
      <c r="B466" s="34" t="inlineStr">
        <is>
          <t>2028-04-30</t>
        </is>
      </c>
      <c r="C466" s="40">
        <f>F465</f>
        <v/>
      </c>
      <c r="D466" s="40">
        <f>MAX(0,C466*$B$433/12)</f>
        <v/>
      </c>
      <c r="E466" s="40">
        <f>MAX(0,MIN(C466,$B$432-D466))</f>
        <v/>
      </c>
      <c r="F466" s="40">
        <f>MAX(0,C466-E466)</f>
        <v/>
      </c>
    </row>
    <row r="467">
      <c r="A467" s="34" t="n">
        <v>30</v>
      </c>
      <c r="B467" s="34" t="inlineStr">
        <is>
          <t>2028-05-30</t>
        </is>
      </c>
      <c r="C467" s="40">
        <f>F466</f>
        <v/>
      </c>
      <c r="D467" s="40">
        <f>MAX(0,C467*$B$433/12)</f>
        <v/>
      </c>
      <c r="E467" s="40">
        <f>MAX(0,MIN(C467,$B$432-D467))</f>
        <v/>
      </c>
      <c r="F467" s="40">
        <f>MAX(0,C467-E467)</f>
        <v/>
      </c>
    </row>
    <row r="468">
      <c r="A468" s="34" t="n">
        <v>31</v>
      </c>
      <c r="B468" s="34" t="inlineStr">
        <is>
          <t>2028-06-30</t>
        </is>
      </c>
      <c r="C468" s="40">
        <f>F467</f>
        <v/>
      </c>
      <c r="D468" s="40">
        <f>MAX(0,C468*$B$433/12)</f>
        <v/>
      </c>
      <c r="E468" s="40">
        <f>MAX(0,MIN(C468,$B$432-D468))</f>
        <v/>
      </c>
      <c r="F468" s="40">
        <f>MAX(0,C468-E468)</f>
        <v/>
      </c>
    </row>
    <row r="469">
      <c r="A469" s="34" t="n">
        <v>32</v>
      </c>
      <c r="B469" s="34" t="inlineStr">
        <is>
          <t>2028-07-30</t>
        </is>
      </c>
      <c r="C469" s="40">
        <f>F468</f>
        <v/>
      </c>
      <c r="D469" s="40">
        <f>MAX(0,C469*$B$433/12)</f>
        <v/>
      </c>
      <c r="E469" s="40">
        <f>MAX(0,MIN(C469,$B$432-D469))</f>
        <v/>
      </c>
      <c r="F469" s="40">
        <f>MAX(0,C469-E469)</f>
        <v/>
      </c>
    </row>
    <row r="470">
      <c r="A470" s="34" t="n">
        <v>33</v>
      </c>
      <c r="B470" s="34" t="inlineStr">
        <is>
          <t>2028-08-30</t>
        </is>
      </c>
      <c r="C470" s="40">
        <f>F469</f>
        <v/>
      </c>
      <c r="D470" s="40">
        <f>MAX(0,C470*$B$433/12)</f>
        <v/>
      </c>
      <c r="E470" s="40">
        <f>MAX(0,MIN(C470,$B$432-D470))</f>
        <v/>
      </c>
      <c r="F470" s="40">
        <f>MAX(0,C470-E470)</f>
        <v/>
      </c>
    </row>
    <row r="471">
      <c r="A471" s="34" t="n">
        <v>34</v>
      </c>
      <c r="B471" s="34" t="inlineStr">
        <is>
          <t>2028-09-30</t>
        </is>
      </c>
      <c r="C471" s="40">
        <f>F470</f>
        <v/>
      </c>
      <c r="D471" s="40">
        <f>MAX(0,C471*$B$433/12)</f>
        <v/>
      </c>
      <c r="E471" s="40">
        <f>MAX(0,MIN(C471,$B$432-D471))</f>
        <v/>
      </c>
      <c r="F471" s="40">
        <f>MAX(0,C471-E471)</f>
        <v/>
      </c>
    </row>
    <row r="472">
      <c r="A472" s="34" t="n">
        <v>35</v>
      </c>
      <c r="B472" s="34" t="inlineStr">
        <is>
          <t>2028-10-30</t>
        </is>
      </c>
      <c r="C472" s="40">
        <f>F471</f>
        <v/>
      </c>
      <c r="D472" s="40">
        <f>MAX(0,C472*$B$433/12)</f>
        <v/>
      </c>
      <c r="E472" s="40">
        <f>MAX(0,MIN(C472,$B$432-D472))</f>
        <v/>
      </c>
      <c r="F472" s="40">
        <f>MAX(0,C472-E472)</f>
        <v/>
      </c>
    </row>
    <row r="473">
      <c r="A473" s="34" t="n">
        <v>36</v>
      </c>
      <c r="B473" s="34" t="inlineStr">
        <is>
          <t>2028-11-30</t>
        </is>
      </c>
      <c r="C473" s="40">
        <f>F472</f>
        <v/>
      </c>
      <c r="D473" s="40">
        <f>MAX(0,C473*$B$433/12)</f>
        <v/>
      </c>
      <c r="E473" s="40">
        <f>MAX(0,MIN(C473,$B$432-D473))</f>
        <v/>
      </c>
      <c r="F473" s="40">
        <f>MAX(0,C473-E473)</f>
        <v/>
      </c>
    </row>
    <row r="474">
      <c r="A474" s="34" t="n">
        <v>37</v>
      </c>
      <c r="B474" s="34" t="inlineStr">
        <is>
          <t>2028-12-30</t>
        </is>
      </c>
      <c r="C474" s="40">
        <f>F473</f>
        <v/>
      </c>
      <c r="D474" s="40">
        <f>MAX(0,C474*$B$433/12)</f>
        <v/>
      </c>
      <c r="E474" s="40">
        <f>MAX(0,MIN(C474,$B$432-D474))</f>
        <v/>
      </c>
      <c r="F474" s="40">
        <f>MAX(0,C474-E474)</f>
        <v/>
      </c>
    </row>
    <row r="475">
      <c r="A475" s="34" t="n">
        <v>38</v>
      </c>
      <c r="B475" s="34" t="inlineStr">
        <is>
          <t>2029-01-30</t>
        </is>
      </c>
      <c r="C475" s="40">
        <f>F474</f>
        <v/>
      </c>
      <c r="D475" s="40">
        <f>MAX(0,C475*$B$433/12)</f>
        <v/>
      </c>
      <c r="E475" s="40">
        <f>MAX(0,MIN(C475,$B$432-D475))</f>
        <v/>
      </c>
      <c r="F475" s="40">
        <f>MAX(0,C475-E475)</f>
        <v/>
      </c>
    </row>
    <row r="476">
      <c r="A476" s="34" t="n">
        <v>39</v>
      </c>
      <c r="B476" s="34" t="inlineStr">
        <is>
          <t>2029-02-28</t>
        </is>
      </c>
      <c r="C476" s="40">
        <f>F475</f>
        <v/>
      </c>
      <c r="D476" s="40">
        <f>MAX(0,C476*$B$433/12)</f>
        <v/>
      </c>
      <c r="E476" s="40">
        <f>MAX(0,MIN(C476,$B$432-D476))</f>
        <v/>
      </c>
      <c r="F476" s="40">
        <f>MAX(0,C476-E476)</f>
        <v/>
      </c>
    </row>
    <row r="477">
      <c r="A477" s="62" t="inlineStr">
        <is>
          <t>TOTAL</t>
        </is>
      </c>
      <c r="B477" s="63" t="n"/>
      <c r="C477" s="63" t="n"/>
      <c r="D477" s="64">
        <f>SUM(D438:D476)</f>
        <v/>
      </c>
      <c r="E477" s="64">
        <f>SUM(E438:E476)</f>
        <v/>
      </c>
      <c r="F477" s="63" t="n"/>
    </row>
  </sheetData>
  <mergeCells count="18">
    <mergeCell ref="A317:G317"/>
    <mergeCell ref="A264:G264"/>
    <mergeCell ref="A1:G1"/>
    <mergeCell ref="A211:G211"/>
    <mergeCell ref="A27:G27"/>
    <mergeCell ref="A31:G31"/>
    <mergeCell ref="A168:G168"/>
    <mergeCell ref="A22:G22"/>
    <mergeCell ref="A87:G87"/>
    <mergeCell ref="A26:G26"/>
    <mergeCell ref="A24:G24"/>
    <mergeCell ref="A125:G125"/>
    <mergeCell ref="A371:G371"/>
    <mergeCell ref="A425:G425"/>
    <mergeCell ref="A25:G25"/>
    <mergeCell ref="A57:G57"/>
    <mergeCell ref="A28:G28"/>
    <mergeCell ref="A23:G23"/>
  </mergeCells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2026-05-19T09:52:50Z</dcterms:created>
  <dcterms:modified xsi:type="dcterms:W3CDTF">2026-05-19T12:04:44Z</dcterms:modified>
</cp:coreProperties>
</file>